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gisele.oliveira\Desktop\Licitação 2025\Motorista\"/>
    </mc:Choice>
  </mc:AlternateContent>
  <xr:revisionPtr revIDLastSave="0" documentId="13_ncr:1_{BA7A1D81-44B2-435E-AF79-A41A903DADB5}" xr6:coauthVersionLast="47" xr6:coauthVersionMax="47" xr10:uidLastSave="{00000000-0000-0000-0000-000000000000}"/>
  <bookViews>
    <workbookView xWindow="-110" yWindow="-110" windowWidth="19420" windowHeight="10300" tabRatio="894" firstSheet="1" activeTab="1" xr2:uid="{00000000-000D-0000-FFFF-FFFF00000000}"/>
  </bookViews>
  <sheets>
    <sheet name="Pesquisa de preço" sheetId="59" state="hidden" r:id="rId1"/>
    <sheet name="Orçamento Estimado" sheetId="72" r:id="rId2"/>
    <sheet name="Valor Ref. Manut. AC" sheetId="70" state="hidden" r:id="rId3"/>
    <sheet name="Motorista Executivo" sheetId="86" r:id="rId4"/>
    <sheet name="Motorista Executivo-Hora Extra" sheetId="87" r:id="rId5"/>
    <sheet name="Veículo - Franquia" sheetId="89" r:id="rId6"/>
    <sheet name="Veículo - KM Excedente" sheetId="85" r:id="rId7"/>
    <sheet name="Valores Referenciais" sheetId="62" state="hidden" r:id="rId8"/>
  </sheets>
  <definedNames>
    <definedName name="_xlnm.Print_Area" localSheetId="3">'Motorista Executivo'!$B$1:$J$133</definedName>
    <definedName name="_xlnm.Print_Area" localSheetId="4">'Motorista Executivo-Hora Extra'!$B$1:$J$133</definedName>
    <definedName name="_xlnm.Print_Area" localSheetId="1">'Orçamento Estimado'!$B$1:$H$10</definedName>
    <definedName name="_xlnm.Print_Area" localSheetId="5">'Veículo - Franquia'!$B$1:$J$53</definedName>
    <definedName name="_xlnm.Print_Area" localSheetId="6">'Veículo - KM Excedente'!$B$1:$J$5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72" l="1"/>
  <c r="F4" i="72"/>
  <c r="J54" i="86"/>
  <c r="J54" i="87" s="1"/>
  <c r="J53" i="86"/>
  <c r="I113" i="87"/>
  <c r="I112" i="87"/>
  <c r="I111" i="87"/>
  <c r="I110" i="87"/>
  <c r="I108" i="87"/>
  <c r="I107" i="87"/>
  <c r="I102" i="87"/>
  <c r="J102" i="87"/>
  <c r="J101" i="87"/>
  <c r="J100" i="87"/>
  <c r="J99" i="87"/>
  <c r="I103" i="87"/>
  <c r="I101" i="87"/>
  <c r="I100" i="87"/>
  <c r="I99" i="87"/>
  <c r="I88" i="87"/>
  <c r="I84" i="87"/>
  <c r="I83" i="87"/>
  <c r="I82" i="87"/>
  <c r="I81" i="87"/>
  <c r="I80" i="87"/>
  <c r="I79" i="87"/>
  <c r="I73" i="87"/>
  <c r="I72" i="87"/>
  <c r="I71" i="87"/>
  <c r="I70" i="87"/>
  <c r="I69" i="87"/>
  <c r="J57" i="87"/>
  <c r="J56" i="87"/>
  <c r="J55" i="87"/>
  <c r="I57" i="87"/>
  <c r="I56" i="87"/>
  <c r="I55" i="87"/>
  <c r="I54" i="87"/>
  <c r="I53" i="87"/>
  <c r="I49" i="87"/>
  <c r="I48" i="87"/>
  <c r="I47" i="87"/>
  <c r="I46" i="87"/>
  <c r="I45" i="87"/>
  <c r="I44" i="87"/>
  <c r="I43" i="87"/>
  <c r="I42" i="87"/>
  <c r="I38" i="87"/>
  <c r="I37" i="87"/>
  <c r="I32" i="87"/>
  <c r="I31" i="87"/>
  <c r="I30" i="87"/>
  <c r="I29" i="87"/>
  <c r="I28" i="87"/>
  <c r="I27" i="87"/>
  <c r="C21" i="85" l="1"/>
  <c r="C20" i="85"/>
  <c r="I12" i="85"/>
  <c r="I13" i="85"/>
  <c r="I14" i="85"/>
  <c r="I15" i="85"/>
  <c r="I16" i="85"/>
  <c r="I11" i="85"/>
  <c r="C52" i="89"/>
  <c r="C50" i="89"/>
  <c r="C49" i="89"/>
  <c r="I39" i="89"/>
  <c r="I37" i="89"/>
  <c r="J28" i="89"/>
  <c r="J50" i="89" s="1"/>
  <c r="I18" i="89"/>
  <c r="J17" i="89"/>
  <c r="J16" i="89"/>
  <c r="J15" i="89"/>
  <c r="J14" i="89"/>
  <c r="J13" i="89"/>
  <c r="J12" i="89"/>
  <c r="J7" i="85" l="1"/>
  <c r="J8" i="85" s="1"/>
  <c r="J20" i="85" s="1"/>
  <c r="J18" i="89"/>
  <c r="I17" i="85"/>
  <c r="J49" i="89"/>
  <c r="J51" i="89" s="1"/>
  <c r="J11" i="85" l="1"/>
  <c r="J12" i="85" s="1"/>
  <c r="J14" i="85" s="1"/>
  <c r="J31" i="89"/>
  <c r="J15" i="85" l="1"/>
  <c r="J16" i="85"/>
  <c r="J32" i="89"/>
  <c r="J17" i="85" l="1"/>
  <c r="J21" i="85" s="1"/>
  <c r="J22" i="85" s="1"/>
  <c r="J34" i="89"/>
  <c r="J35" i="89"/>
  <c r="J36" i="89"/>
  <c r="J42" i="89"/>
  <c r="J44" i="89" s="1"/>
  <c r="J46" i="89" s="1"/>
  <c r="J37" i="89" l="1"/>
  <c r="J52" i="89" s="1"/>
  <c r="J53" i="89" s="1"/>
  <c r="I115" i="87" l="1"/>
  <c r="J94" i="87"/>
  <c r="I85" i="87"/>
  <c r="I50" i="87"/>
  <c r="I39" i="87"/>
  <c r="B16" i="87"/>
  <c r="B6" i="87"/>
  <c r="J27" i="86"/>
  <c r="B16" i="86"/>
  <c r="B6" i="86"/>
  <c r="I115" i="86"/>
  <c r="I113" i="86"/>
  <c r="J94" i="86"/>
  <c r="I83" i="86"/>
  <c r="I82" i="86"/>
  <c r="I81" i="86"/>
  <c r="I85" i="86" s="1"/>
  <c r="I80" i="86"/>
  <c r="I79" i="86"/>
  <c r="I71" i="86"/>
  <c r="I70" i="86"/>
  <c r="I74" i="86" s="1"/>
  <c r="I69" i="86"/>
  <c r="I50" i="86"/>
  <c r="I72" i="86" s="1"/>
  <c r="I39" i="86"/>
  <c r="J32" i="86" l="1"/>
  <c r="J27" i="87"/>
  <c r="J32" i="87" s="1"/>
  <c r="J53" i="87"/>
  <c r="J58" i="87" s="1"/>
  <c r="J64" i="87" s="1"/>
  <c r="J30" i="86"/>
  <c r="J30" i="87" s="1"/>
  <c r="J29" i="86"/>
  <c r="J29" i="87" s="1"/>
  <c r="J28" i="86"/>
  <c r="J31" i="86"/>
  <c r="J31" i="87" s="1"/>
  <c r="J33" i="86" l="1"/>
  <c r="J28" i="87"/>
  <c r="J33" i="87"/>
  <c r="J72" i="87" s="1"/>
  <c r="I74" i="87"/>
  <c r="J72" i="86"/>
  <c r="J38" i="86"/>
  <c r="J126" i="86"/>
  <c r="J58" i="86" l="1"/>
  <c r="J64" i="86" s="1"/>
  <c r="J73" i="86"/>
  <c r="J81" i="86"/>
  <c r="J80" i="86"/>
  <c r="J37" i="86"/>
  <c r="J39" i="86" s="1"/>
  <c r="J82" i="86"/>
  <c r="J70" i="86"/>
  <c r="J69" i="86"/>
  <c r="J79" i="86"/>
  <c r="J84" i="86"/>
  <c r="J83" i="86"/>
  <c r="J71" i="86"/>
  <c r="J38" i="87"/>
  <c r="J73" i="87"/>
  <c r="J79" i="87"/>
  <c r="J80" i="87"/>
  <c r="J81" i="87"/>
  <c r="J69" i="87"/>
  <c r="J82" i="87"/>
  <c r="J84" i="87"/>
  <c r="J37" i="87"/>
  <c r="J39" i="87" s="1"/>
  <c r="J126" i="87"/>
  <c r="J83" i="87"/>
  <c r="J71" i="87"/>
  <c r="J70" i="87"/>
  <c r="J62" i="86" l="1"/>
  <c r="J45" i="86"/>
  <c r="J44" i="86"/>
  <c r="J47" i="86"/>
  <c r="J48" i="86"/>
  <c r="J46" i="86"/>
  <c r="J42" i="86"/>
  <c r="J49" i="86"/>
  <c r="J74" i="86"/>
  <c r="J128" i="86" s="1"/>
  <c r="J85" i="86"/>
  <c r="J93" i="86" s="1"/>
  <c r="J95" i="86" s="1"/>
  <c r="J129" i="86" s="1"/>
  <c r="J43" i="86"/>
  <c r="J50" i="86" s="1"/>
  <c r="J63" i="86" s="1"/>
  <c r="J65" i="86" s="1"/>
  <c r="J127" i="86" s="1"/>
  <c r="J74" i="87"/>
  <c r="J128" i="87" s="1"/>
  <c r="J85" i="87"/>
  <c r="J93" i="87" s="1"/>
  <c r="J95" i="87" s="1"/>
  <c r="J129" i="87" s="1"/>
  <c r="J62" i="87"/>
  <c r="J48" i="87"/>
  <c r="J44" i="87"/>
  <c r="J49" i="87"/>
  <c r="J43" i="87"/>
  <c r="J45" i="87"/>
  <c r="J42" i="87"/>
  <c r="J46" i="87"/>
  <c r="J47" i="87"/>
  <c r="J50" i="87" l="1"/>
  <c r="J63" i="87" s="1"/>
  <c r="J65" i="87" s="1"/>
  <c r="J127" i="87" l="1"/>
  <c r="H7" i="72" l="1"/>
  <c r="G5" i="72"/>
  <c r="H5" i="72" s="1"/>
  <c r="G7" i="72"/>
  <c r="G8" i="72"/>
  <c r="H8" i="72" s="1"/>
  <c r="G4" i="72"/>
  <c r="H4" i="72" s="1"/>
  <c r="J103" i="86" l="1"/>
  <c r="J103" i="87"/>
  <c r="G5" i="70"/>
  <c r="I5" i="70"/>
  <c r="K5" i="70"/>
  <c r="L5" i="70"/>
  <c r="M5" i="70" s="1"/>
  <c r="N5" i="70" s="1"/>
  <c r="G6" i="70"/>
  <c r="I6" i="70"/>
  <c r="K6" i="70"/>
  <c r="L6" i="70"/>
  <c r="M6" i="70" s="1"/>
  <c r="N6" i="70" s="1"/>
  <c r="G7" i="70"/>
  <c r="I7" i="70"/>
  <c r="K7" i="70"/>
  <c r="L7" i="70"/>
  <c r="M7" i="70" s="1"/>
  <c r="N7" i="70" s="1"/>
  <c r="G8" i="70"/>
  <c r="I8" i="70"/>
  <c r="K8" i="70"/>
  <c r="L8" i="70"/>
  <c r="M8" i="70" s="1"/>
  <c r="N8" i="70" s="1"/>
  <c r="G9" i="70"/>
  <c r="I9" i="70"/>
  <c r="K9" i="70"/>
  <c r="L9" i="70"/>
  <c r="M9" i="70" s="1"/>
  <c r="N9" i="70" s="1"/>
  <c r="G10" i="70"/>
  <c r="I10" i="70"/>
  <c r="K10" i="70"/>
  <c r="L10" i="70"/>
  <c r="M10" i="70" s="1"/>
  <c r="N10" i="70" s="1"/>
  <c r="G11" i="70"/>
  <c r="I11" i="70"/>
  <c r="K11" i="70"/>
  <c r="L11" i="70"/>
  <c r="M11" i="70" s="1"/>
  <c r="N11" i="70" s="1"/>
  <c r="G12" i="70"/>
  <c r="I12" i="70"/>
  <c r="K12" i="70"/>
  <c r="L12" i="70"/>
  <c r="M12" i="70" s="1"/>
  <c r="N12" i="70" s="1"/>
  <c r="E13" i="70"/>
  <c r="J130" i="87" l="1"/>
  <c r="J131" i="87" s="1"/>
  <c r="J130" i="86"/>
  <c r="J131" i="86" s="1"/>
  <c r="K13" i="70"/>
  <c r="M13" i="70"/>
  <c r="I13" i="70"/>
  <c r="G13" i="70"/>
  <c r="N13" i="70"/>
  <c r="J107" i="86" l="1"/>
  <c r="J108" i="86" s="1"/>
  <c r="J110" i="86" s="1"/>
  <c r="J107" i="87"/>
  <c r="E114" i="59"/>
  <c r="E113" i="59"/>
  <c r="E112" i="59"/>
  <c r="E111" i="59"/>
  <c r="E110" i="59"/>
  <c r="H109" i="59" s="1"/>
  <c r="E109" i="59"/>
  <c r="H21" i="59"/>
  <c r="F92" i="59"/>
  <c r="H71" i="59"/>
  <c r="G61" i="59"/>
  <c r="G71" i="59"/>
  <c r="F71" i="59"/>
  <c r="H61" i="59"/>
  <c r="F61" i="59"/>
  <c r="F102" i="59"/>
  <c r="H92" i="59"/>
  <c r="G92" i="59"/>
  <c r="H82" i="59"/>
  <c r="F82" i="59"/>
  <c r="G82" i="59"/>
  <c r="D15" i="62"/>
  <c r="C15" i="62"/>
  <c r="E41" i="59"/>
  <c r="E56" i="59"/>
  <c r="E40" i="59"/>
  <c r="E39" i="59"/>
  <c r="E55" i="59"/>
  <c r="E54" i="59"/>
  <c r="E53" i="59"/>
  <c r="E37" i="59"/>
  <c r="E52" i="59"/>
  <c r="E36" i="59"/>
  <c r="E51" i="59"/>
  <c r="E35" i="59"/>
  <c r="E49" i="59"/>
  <c r="E50" i="59"/>
  <c r="E34" i="59"/>
  <c r="J111" i="86" l="1"/>
  <c r="J112" i="86"/>
  <c r="J108" i="87"/>
  <c r="J112" i="87" s="1"/>
  <c r="J118" i="86"/>
  <c r="J120" i="86" s="1"/>
  <c r="J122" i="86" s="1"/>
  <c r="G109" i="59"/>
  <c r="F109" i="59"/>
  <c r="E15" i="62"/>
  <c r="G15" i="62" s="1"/>
  <c r="G49" i="59"/>
  <c r="F49" i="59"/>
  <c r="F33" i="59"/>
  <c r="H49" i="59"/>
  <c r="G33" i="59"/>
  <c r="H38" i="59"/>
  <c r="F8" i="62" s="1"/>
  <c r="J113" i="86" l="1"/>
  <c r="J132" i="86" s="1"/>
  <c r="J133" i="86" s="1"/>
  <c r="F6" i="72" s="1"/>
  <c r="J110" i="87"/>
  <c r="J118" i="87"/>
  <c r="J120" i="87" s="1"/>
  <c r="J122" i="87" s="1"/>
  <c r="J111" i="87"/>
  <c r="G16" i="62"/>
  <c r="G17" i="62" s="1"/>
  <c r="G8" i="62"/>
  <c r="G9" i="62" s="1"/>
  <c r="G21" i="62"/>
  <c r="G15" i="59"/>
  <c r="J10" i="59" s="1"/>
  <c r="J113" i="87" l="1"/>
  <c r="J132" i="87" s="1"/>
  <c r="J133" i="87" s="1"/>
  <c r="J134" i="87" s="1"/>
  <c r="F9" i="72" s="1"/>
  <c r="H10" i="59"/>
  <c r="I10" i="59"/>
  <c r="G10" i="62"/>
  <c r="G6" i="72" l="1"/>
  <c r="G9" i="72"/>
  <c r="H9" i="72" s="1"/>
  <c r="H6" i="72" l="1"/>
  <c r="H10" i="72" s="1"/>
  <c r="G10" i="72"/>
</calcChain>
</file>

<file path=xl/sharedStrings.xml><?xml version="1.0" encoding="utf-8"?>
<sst xmlns="http://schemas.openxmlformats.org/spreadsheetml/2006/main" count="953" uniqueCount="399">
  <si>
    <t>PESQUISA DE PREÇOS</t>
  </si>
  <si>
    <t>ASSISTENTE ADMINISTRATIVO</t>
  </si>
  <si>
    <t>ÓRGÃO</t>
  </si>
  <si>
    <t>UASG</t>
  </si>
  <si>
    <t>PREGÃO</t>
  </si>
  <si>
    <t>EMPRESA</t>
  </si>
  <si>
    <t>CNPJ</t>
  </si>
  <si>
    <t>VALOR</t>
  </si>
  <si>
    <t>MÉDIA</t>
  </si>
  <si>
    <t>DESVIO PADRÃO</t>
  </si>
  <si>
    <t>MÉDIA AJUSTADA</t>
  </si>
  <si>
    <t>IPHAN 9A. SUPERINTENDêNCIA REGIONAL</t>
  </si>
  <si>
    <t>003/2021</t>
  </si>
  <si>
    <t>SEGMAR SERVICOS TERCEIRIZADOS EIRELI</t>
  </si>
  <si>
    <t>12.360.485/0001-03</t>
  </si>
  <si>
    <t>SUP. REG. DO DNIT NO ESTADO DE SAO PAULO</t>
  </si>
  <si>
    <t>380/2020</t>
  </si>
  <si>
    <t xml:space="preserve">	G4F SOLUCOES CORPORATIVAS LTDA</t>
  </si>
  <si>
    <t>07.094.346/0001-45</t>
  </si>
  <si>
    <t>SUPERINT.FED. DE AGRIC.PECUARIA E ABASTEC./SP</t>
  </si>
  <si>
    <t>004/2019</t>
  </si>
  <si>
    <t>ORBENK ADMINISTRACAO E SERVICOS LTDA.</t>
  </si>
  <si>
    <t>79.283.065/0001-41</t>
  </si>
  <si>
    <t>https://dissidio.com.br/salario/assistente-administrativo/</t>
  </si>
  <si>
    <t>-</t>
  </si>
  <si>
    <t>Salário de Assistente Administrativo | Infojobs</t>
  </si>
  <si>
    <t>Assistente Administrativo - Salário 2021 - São Paulo, SP (salario.com.br)</t>
  </si>
  <si>
    <t>SEGURO DE VIDA</t>
  </si>
  <si>
    <t>CONSELHO REG. DE ENG. E AGRON. DE S.PAULO</t>
  </si>
  <si>
    <t>007/2021</t>
  </si>
  <si>
    <t>LINCE - SEGURANCA ELETRONICA LTDA.</t>
  </si>
  <si>
    <t>10.565.981/0001-78</t>
  </si>
  <si>
    <t>PROCURADORIA REG.DO TRABALHO 2A. REGIAO - SP</t>
  </si>
  <si>
    <t>008/2021</t>
  </si>
  <si>
    <t>VISION EMPREENDIMENTOS EIRELI</t>
  </si>
  <si>
    <t>09.327.728/0001-05</t>
  </si>
  <si>
    <t>INST.FED.DE EDUC.,CIENC.E TEC.DE SÃO PAULO</t>
  </si>
  <si>
    <t>1710/2021</t>
  </si>
  <si>
    <t>IMPERIO SERVICOS EMPRESARIAIS EIRELI</t>
  </si>
  <si>
    <t>21.795.157/0001-20</t>
  </si>
  <si>
    <t>GERENCIA REGIONAL EM SÃO PAULO</t>
  </si>
  <si>
    <t>016/2021</t>
  </si>
  <si>
    <t>APPA SERVICOS TEMPORARIOS E EFETIVOS LTDA</t>
  </si>
  <si>
    <t>05.969.071/0001-10</t>
  </si>
  <si>
    <t>RELÓGIO PONTO BIOMÉTRICO</t>
  </si>
  <si>
    <t>DATA</t>
  </si>
  <si>
    <t xml:space="preserve">ACWARE COMÉRCIO DE EQUIPAMENTOS PARA AUTOMAÇÃO COMERCIAL LTDA </t>
  </si>
  <si>
    <t>10.690.274/0001-03</t>
  </si>
  <si>
    <t xml:space="preserve">LOJADOPONTO TECNOLOGIA EIRELI-ME </t>
  </si>
  <si>
    <t xml:space="preserve">27.283.673/0001-52 </t>
  </si>
  <si>
    <t>GASPARINI &amp; FERREIRA - COMERCIO DE PRODUTOS ELETRONICOS LTDA</t>
  </si>
  <si>
    <t>14.322.609/0001-91</t>
  </si>
  <si>
    <t xml:space="preserve">CANAL AUTOMACAO – EIRELI </t>
  </si>
  <si>
    <t>17.235.480/0001-72</t>
  </si>
  <si>
    <t xml:space="preserve">ETIPLAST INDUSTRIA E COMERCIO DE ETIQUETAS LTDA - EPP </t>
  </si>
  <si>
    <t>12.521.222/0001-39</t>
  </si>
  <si>
    <t xml:space="preserve">VGA TECNOLOGIA E ELETRONICOS LTDA   </t>
  </si>
  <si>
    <t>34.122.654/0001-00</t>
  </si>
  <si>
    <t xml:space="preserve">ECOLOGIC SYSTEMS INFORMATICA LTDA - EPP </t>
  </si>
  <si>
    <t>06.580.675/0001-33</t>
  </si>
  <si>
    <t>MANCHESTER AUTOMACAO LTDA</t>
  </si>
  <si>
    <t>05.061.448/0001-39</t>
  </si>
  <si>
    <t>TECNOPAR TECNOLOGIA EM AUTOMAÇÕES LTDA</t>
  </si>
  <si>
    <t>08.829.865/0001-77</t>
  </si>
  <si>
    <t xml:space="preserve">I. G EQUIPAMENTOS DE RELOGIO DE PONTO LTDA   </t>
  </si>
  <si>
    <t>12.303.126/0001-14</t>
  </si>
  <si>
    <t xml:space="preserve">ISMAFER FERRAGENS LTDA  </t>
  </si>
  <si>
    <t>18.785.157/0001-35</t>
  </si>
  <si>
    <t>BOBINA PONTO BIOMÉTRICO (6 BOBINAS)</t>
  </si>
  <si>
    <t xml:space="preserve">27.283673/0001-52 </t>
  </si>
  <si>
    <t>UNIFORME - CAMISA</t>
  </si>
  <si>
    <t>MWT COMERCIO DE ROUPAS E ESTAMPARIA LTDA (MASCULINO)</t>
  </si>
  <si>
    <t>17.918.683/0001-63</t>
  </si>
  <si>
    <t>MWT COMERCIO DE ROUPAS E ESTAMPARIA LTDA (FEMININO)</t>
  </si>
  <si>
    <t>FM IMPRESSOS PERSONALIZADOS LTDA (MASCULINO)</t>
  </si>
  <si>
    <t>13.555.994/0001-54</t>
  </si>
  <si>
    <t>RDH UNIFORMES PROFISSIONAIS EIRELI (MASCULINO)</t>
  </si>
  <si>
    <t>17.904.902/0001-55</t>
  </si>
  <si>
    <t>RDH UNIFORMES PROFISSIONAIS EIRELI (FEMININO)</t>
  </si>
  <si>
    <t>ALPHA MODA CONFECCOES SOROCABA LTDA (MASCULINO)</t>
  </si>
  <si>
    <t>13.564.909/0001-14</t>
  </si>
  <si>
    <t>UNIFORME - CALÇA</t>
  </si>
  <si>
    <t>TODAN COMERCIO DE CONFECCOES - EIRELI (FEMININO)</t>
  </si>
  <si>
    <t>28.895.349/0001-58</t>
  </si>
  <si>
    <t>LOJAS RENNER S/A (FEMININO)</t>
  </si>
  <si>
    <t>92.754.738/0001-62</t>
  </si>
  <si>
    <t>LOJAS BELIAN MODA LTDA (FEMININO)</t>
  </si>
  <si>
    <t>46.469.748/0052-89</t>
  </si>
  <si>
    <t>C&amp;A MODAS S/A (MASCULINO)</t>
  </si>
  <si>
    <t>45.242.914/0001-05</t>
  </si>
  <si>
    <t>TNG COMERCIO E INDUSTRIA DE ROUPAS LTDA (MASCULINO)</t>
  </si>
  <si>
    <t>53.966.834/0236-78</t>
  </si>
  <si>
    <t>LOJAS RIACHUELO S/A (MASCULINO)</t>
  </si>
  <si>
    <t>33.200.056/0441-97</t>
  </si>
  <si>
    <t>UNIFORME - SUETER</t>
  </si>
  <si>
    <t>HAVAN S/A (MASCULINO)</t>
  </si>
  <si>
    <t>79.379.491.0008-50</t>
  </si>
  <si>
    <t>SANDRO GIACOMETTI DONA (MASCULINO)</t>
  </si>
  <si>
    <t>08.989.175/0001-85</t>
  </si>
  <si>
    <t>LOJAS BELIAN MODA LTDA (MASCULINO)</t>
  </si>
  <si>
    <t>C&amp;A MODAS S/A (FEMININO)</t>
  </si>
  <si>
    <t>TNG COMERCIO E INDUSTRIA DE ROUPAS LTDA (FEMININO)</t>
  </si>
  <si>
    <t>LOJAS RIACHUELO S/A (FEMININO)</t>
  </si>
  <si>
    <t>UNIFORME - SAPATO</t>
  </si>
  <si>
    <t>GABRIELA GIMENES MIRON ENCINAS (FEMININO)</t>
  </si>
  <si>
    <t>19.705.008/0001-81</t>
  </si>
  <si>
    <t>ERICK ROCHA DE SOUZA (MASCULINO)</t>
  </si>
  <si>
    <t>20.214.857/0001-11</t>
  </si>
  <si>
    <t>SERGIY GREKOV (FEMININO)</t>
  </si>
  <si>
    <t>27.390.148/0001-36</t>
  </si>
  <si>
    <t>FKV COMERCIO DE CALCADOS LTDA (FEMININO)</t>
  </si>
  <si>
    <t>16.852.091/0001-23</t>
  </si>
  <si>
    <t>CAROL VILHENA EIRELI (MASCULINO)</t>
  </si>
  <si>
    <t>18.485.430/0001-06</t>
  </si>
  <si>
    <t>UNIFORME - CINTO</t>
  </si>
  <si>
    <t>FKV COMERCIO DE CALCADOS LTDA</t>
  </si>
  <si>
    <t>USEPELLE INDUSTRIA DE ARTEFATOS DE COURO LTDA</t>
  </si>
  <si>
    <t>15.691.739/0001-64</t>
  </si>
  <si>
    <t xml:space="preserve">RAPHAEL RODRIGUES NAVES </t>
  </si>
  <si>
    <t>36.074.899/0001-34</t>
  </si>
  <si>
    <t>UNIFORME - MEIA</t>
  </si>
  <si>
    <t>ROBSON BARBOSA JULIO (FEMININO)</t>
  </si>
  <si>
    <t>40.512.969/0001-66</t>
  </si>
  <si>
    <t>PART. B - COMERCIO DE ARTIGOS DO VESTUARIO LTDA</t>
  </si>
  <si>
    <t>30.288.399/0001-19</t>
  </si>
  <si>
    <t>LOJAS RIACHUELO S/A</t>
  </si>
  <si>
    <t>MENGROW COMERCIO LTDA (MASCULINO)</t>
  </si>
  <si>
    <t>41.109.350/0001-78</t>
  </si>
  <si>
    <t>GFG COMERCIO DIGITAL LTDA (MASCULINO)</t>
  </si>
  <si>
    <t>11.200.418/0004-01</t>
  </si>
  <si>
    <t>ITEM</t>
  </si>
  <si>
    <t>DESCRIÇÃO</t>
  </si>
  <si>
    <t>IN 05/2017/SEGES/MPDG - ANEXO VII-D</t>
  </si>
  <si>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</si>
  <si>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</si>
  <si>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</si>
  <si>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</si>
  <si>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</si>
  <si>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</si>
  <si>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</si>
  <si>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</si>
  <si>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</si>
  <si>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</si>
  <si>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</si>
  <si>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</si>
  <si>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</si>
  <si>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</si>
  <si>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</si>
  <si>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</si>
  <si>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</si>
  <si>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</si>
  <si>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</si>
  <si>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</si>
  <si>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</si>
  <si>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</si>
  <si>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%</t>
  </si>
  <si>
    <t>VALOR (R$)</t>
  </si>
  <si>
    <t>Memória de Cálculo</t>
  </si>
  <si>
    <t>Fundamento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</si>
  <si>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</si>
  <si>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</si>
  <si>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</si>
  <si>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</si>
  <si>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</si>
  <si>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</si>
  <si>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</si>
  <si>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</si>
  <si>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</si>
  <si>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G</t>
  </si>
  <si>
    <t>H</t>
  </si>
  <si>
    <t>(VT x 22 dias x 2)- 6% s/ salário</t>
  </si>
  <si>
    <t>Lei Federal nº 7.418/1985, Decreto nº10.854/2021.</t>
  </si>
  <si>
    <t>TOTAL DO MÓDULO 2</t>
  </si>
  <si>
    <t>TOTAL DO MÓDULO 3</t>
  </si>
  <si>
    <t>TOTAL DO MÓDULO 4</t>
  </si>
  <si>
    <t xml:space="preserve">Insumo dos Uniformes </t>
  </si>
  <si>
    <t>TOTAL DO MÓDULO 5</t>
  </si>
  <si>
    <t>Custos Indiretos</t>
  </si>
  <si>
    <t>Referência Acórdão 2622/2013 do TCU. Aplica-se a alíquota do CI sobre o total dos custos diretos (somatório dos módulos 1 a 5)</t>
  </si>
  <si>
    <t>Lucro</t>
  </si>
  <si>
    <t>Referência Acórdão 2622/2013 do TCU. Aplica-se a alíquota do lucro sobre o somatório entre Custos Diretos e Custos Indiretos</t>
  </si>
  <si>
    <t>TRIBUTOS</t>
  </si>
  <si>
    <t>C.1</t>
  </si>
  <si>
    <t xml:space="preserve">PIS </t>
  </si>
  <si>
    <t>(CD + CI + Lucro)/(1 – total de Impostos)) x Alíquota do PIS</t>
  </si>
  <si>
    <t>C.2</t>
  </si>
  <si>
    <t xml:space="preserve">COFINS </t>
  </si>
  <si>
    <t>(CD + CI + Lucro)/(1 – total de Impostos)) x Alíquota do COFINS</t>
  </si>
  <si>
    <t>C.3</t>
  </si>
  <si>
    <t>ISS</t>
  </si>
  <si>
    <t>(CD + CI + Lucro)/(1 – total de Impostos)) x Alíquota do ISSQN.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</si>
  <si>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</si>
  <si>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</si>
  <si>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</si>
  <si>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</si>
  <si>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</si>
  <si>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</si>
  <si>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</si>
  <si>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</si>
  <si>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</si>
  <si>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</si>
  <si>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</si>
  <si>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(VA x 22 dias)</t>
  </si>
  <si>
    <t>VALOR DE REFERÊNCIA - MANUTENÇÃO AR CONDICIONADO</t>
  </si>
  <si>
    <t xml:space="preserve">Marca </t>
  </si>
  <si>
    <t>Modelo</t>
  </si>
  <si>
    <t>Capacidade Btu’s</t>
  </si>
  <si>
    <t>Quantidade</t>
  </si>
  <si>
    <t>Ar Condicionado SJC</t>
  </si>
  <si>
    <t>Intra</t>
  </si>
  <si>
    <t>Rofran</t>
  </si>
  <si>
    <t>VALOR DE REFERÊNCIA</t>
  </si>
  <si>
    <t>Mensal Unitário</t>
  </si>
  <si>
    <t xml:space="preserve">Mensal Total </t>
  </si>
  <si>
    <t>Mensal Total</t>
  </si>
  <si>
    <t>Total (20 meses)</t>
  </si>
  <si>
    <t xml:space="preserve">TCL </t>
  </si>
  <si>
    <t>TAC-09CSA INV</t>
  </si>
  <si>
    <t xml:space="preserve">FUJITSU </t>
  </si>
  <si>
    <t xml:space="preserve">ASBA12JC </t>
  </si>
  <si>
    <t xml:space="preserve">PHILCO </t>
  </si>
  <si>
    <t xml:space="preserve">PAC12000IQFM4 </t>
  </si>
  <si>
    <t xml:space="preserve">TAC-18CSA INV </t>
  </si>
  <si>
    <t xml:space="preserve">CONSUL </t>
  </si>
  <si>
    <t>CBG22EBBNA</t>
  </si>
  <si>
    <t>AOBG30LFTB</t>
  </si>
  <si>
    <t xml:space="preserve">AOBG45LBTA </t>
  </si>
  <si>
    <t xml:space="preserve">LG </t>
  </si>
  <si>
    <t xml:space="preserve">AV-W60GM2P0 </t>
  </si>
  <si>
    <t>TOTAL</t>
  </si>
  <si>
    <t>Descrição</t>
  </si>
  <si>
    <t>VALORES REFERENCIAIS</t>
  </si>
  <si>
    <t>Unidade</t>
  </si>
  <si>
    <t>Quantidade                    ( A )</t>
  </si>
  <si>
    <t>Prazo de Vida Útil (Meses)                  ( B )</t>
  </si>
  <si>
    <t>Valor Unitário                       ( C )</t>
  </si>
  <si>
    <t>Valor Total                       D = ( A x C) / ( B)</t>
  </si>
  <si>
    <t>Relógio Ponto</t>
  </si>
  <si>
    <t>Peça</t>
  </si>
  <si>
    <t>VALOR TOTAL</t>
  </si>
  <si>
    <t xml:space="preserve">VALOR TOTAL POR EMPREGADO </t>
  </si>
  <si>
    <t>BOBINA</t>
  </si>
  <si>
    <t>Tamanho da bobina (m)</t>
  </si>
  <si>
    <t>Quantidade de tickets por bobina</t>
  </si>
  <si>
    <t>Número estimado de tickets por dia</t>
  </si>
  <si>
    <t>Estimativa de meses por bobina</t>
  </si>
  <si>
    <t>Meses de Contrato</t>
  </si>
  <si>
    <t>Quantidade estimada de bobinas</t>
  </si>
  <si>
    <t xml:space="preserve"> QUADRO RESUMO DA CONTRATAÇÃO</t>
  </si>
  <si>
    <t>Brasília/DF</t>
  </si>
  <si>
    <t>Referência SEAC/DF e SITRATTER/DF 2024/2025
Termo Aditivo 2025/2025</t>
  </si>
  <si>
    <t>Motorista de carro de passeio</t>
  </si>
  <si>
    <t>7823-05</t>
  </si>
  <si>
    <t>Motorista de Veículo Executivo</t>
  </si>
  <si>
    <t>Transporte (R$ 5,50 x 2 x 22 - 6% x SalBase)</t>
  </si>
  <si>
    <t>1 Hora Extra</t>
  </si>
  <si>
    <t>CUSTO DE UMA HORA EXTRA (VALOR COM UMA HORA EXTRA - VALOR PADRÃO)</t>
  </si>
  <si>
    <t xml:space="preserve"> Locação de veículo dedicado (franquia de 1.400 km/mês)</t>
  </si>
  <si>
    <t>Quilometragem excedente à franquia</t>
  </si>
  <si>
    <t>Posto de serviço - Motorista Executivo</t>
  </si>
  <si>
    <t xml:space="preserve">Adicional de viagens </t>
  </si>
  <si>
    <t xml:space="preserve">Pernoite de motorista </t>
  </si>
  <si>
    <t>Horas extras de motorista</t>
  </si>
  <si>
    <t>UNIDADE DE MEDIDA</t>
  </si>
  <si>
    <t>QUANTIDADE ANUAL</t>
  </si>
  <si>
    <t>VALOR UNITÁRIO</t>
  </si>
  <si>
    <t>VALOR ANUAL</t>
  </si>
  <si>
    <t>VALOR TOTAL (36 MESES)</t>
  </si>
  <si>
    <t>mês</t>
  </si>
  <si>
    <t>km</t>
  </si>
  <si>
    <t>unidade</t>
  </si>
  <si>
    <t>Quantidade total a contratar</t>
  </si>
  <si>
    <t>Locação de Veículo</t>
  </si>
  <si>
    <t>Detalhamento do Veículo</t>
  </si>
  <si>
    <t>Modelo/Marca do veículo</t>
  </si>
  <si>
    <t>Ano de fabricação</t>
  </si>
  <si>
    <t>Valor do veículo</t>
  </si>
  <si>
    <t>Cálculo</t>
  </si>
  <si>
    <t>Combustível</t>
  </si>
  <si>
    <t>Manutenção</t>
  </si>
  <si>
    <t>Peças e componentes</t>
  </si>
  <si>
    <t>Pneus</t>
  </si>
  <si>
    <t>Lubrificantes</t>
  </si>
  <si>
    <t>Lavagem</t>
  </si>
  <si>
    <t>Depreciação</t>
  </si>
  <si>
    <t>Seguro Obrigatório</t>
  </si>
  <si>
    <t>Seguro exigido pela Contratante</t>
  </si>
  <si>
    <t>Licenciamento/Emplacamento</t>
  </si>
  <si>
    <t>IPVA</t>
  </si>
  <si>
    <t>MÓDULO 3 – CUSTOS INDIRETOS, TRIBUTOS E LUCRO</t>
  </si>
  <si>
    <t>MÓDULO 1 - CUSTO FIXO MENSAL</t>
  </si>
  <si>
    <t>N.º do Processo 00058.023578/2024-54</t>
  </si>
  <si>
    <t>COMPOSIÇÃO DA REMUNERAÇÃO</t>
  </si>
  <si>
    <t>CCT 2024/2025</t>
  </si>
  <si>
    <t>Lei n.º 12.740/2012</t>
  </si>
  <si>
    <t>MÓDULO 2 – ENCARGOS E BENEFÍCIOS ANUAIS, MENSAIS E DIÁRIOS</t>
  </si>
  <si>
    <t>Submódulo 2.1 - 13º Salário, Férias e Adicional de Férias</t>
  </si>
  <si>
    <t>13 (Décimo-terceiro) salário (Percentual obrigatório conforme Anexo XII - IN 5/17)</t>
  </si>
  <si>
    <t>Art. 7º, VIII, CF/88- Dec. 57.115/65.
INSTRUÇÃO NORMATIVA Nº 5, DE 26 DE MAIO DE 2017 - ANEXO XII</t>
  </si>
  <si>
    <t>Férias e Adicional de Férias  (Percentual obrigatório conforme Anexo XII - IN 5/17)</t>
  </si>
  <si>
    <t>9,075 % + 3,025 %</t>
  </si>
  <si>
    <t>Art. 7º, XVII, CF/88
INSTRUÇÃO NORMATIVA Nº 5, DE 26 DE MAIO DE 2017 - ANEXO XII</t>
  </si>
  <si>
    <t>TOTAL SUBMÓDULO 2.1</t>
  </si>
  <si>
    <t>Submódulo 2.2 - GPS, FGTS e Outras Contribuições</t>
  </si>
  <si>
    <t xml:space="preserve">INSS </t>
  </si>
  <si>
    <t>Art. 22, Inciso I, da Lei nº 8.212/91.</t>
  </si>
  <si>
    <t xml:space="preserve">Salário Educação </t>
  </si>
  <si>
    <t>Art.    3º,    Inciso    I,    Decreto    n.º 87.043/82.</t>
  </si>
  <si>
    <t>SAT (Seguro Acidente de Trabalho)</t>
  </si>
  <si>
    <t>RAT X FAP</t>
  </si>
  <si>
    <t>Lei n.º 8.212/91  e Decreto 6.957/2009</t>
  </si>
  <si>
    <t>SESC ou SESI</t>
  </si>
  <si>
    <t>Decreto n.º 2.318/86.</t>
  </si>
  <si>
    <t xml:space="preserve">SENAI - SENAC </t>
  </si>
  <si>
    <t>Lei n.º 7.787/89 e DL n.º 1.146/70.</t>
  </si>
  <si>
    <t xml:space="preserve">SEBRAE </t>
  </si>
  <si>
    <t xml:space="preserve">Art.  8º,  Lei  n.º  8.029/90  e  Lei  n.º 8.154/90. </t>
  </si>
  <si>
    <t xml:space="preserve">INCRA </t>
  </si>
  <si>
    <t xml:space="preserve">FGTS </t>
  </si>
  <si>
    <t>Art. 15, Lei nº 8.030/90 e Art. 7º, III, CF.</t>
  </si>
  <si>
    <t>TOTAL SUBMÓDULO 2.2</t>
  </si>
  <si>
    <t>Submódulo 2.3 - Benefícios Mensais e Diários</t>
  </si>
  <si>
    <t>CCT 2024/25 (3.C2)</t>
  </si>
  <si>
    <t>Assistência médica</t>
  </si>
  <si>
    <t>CCT 2024/25 (24)</t>
  </si>
  <si>
    <t>Seguro de Vida</t>
  </si>
  <si>
    <t>CCT 2024/25 (18.IV)</t>
  </si>
  <si>
    <t>CCT 2024/25 (3.A e 3.B)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</si>
  <si>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</si>
  <si>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</si>
  <si>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</si>
  <si>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</si>
  <si>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</si>
  <si>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</si>
  <si>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</si>
  <si>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</si>
  <si>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</si>
  <si>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MÓDULO 3 – PROVISÃO PARA RESCISÃO</t>
  </si>
  <si>
    <t>PROVISÃO PARA RESCISÃO</t>
  </si>
  <si>
    <t>Aviso Prévio Indenizado</t>
  </si>
  <si>
    <t>[(1/12)X5]=0,417%</t>
  </si>
  <si>
    <t>Art. 7º, XXI, CF/88, 477, 487 e 491 CLT. Estimativa de que 5% dos empregados serão substítuidos durante o ano.</t>
  </si>
  <si>
    <t>Incidência do FGTS sobre Aviso Prévio Indenizado</t>
  </si>
  <si>
    <t>(8% X 0,42%) = 0,03%</t>
  </si>
  <si>
    <t>Leis nºs 8.036/90 e 9.491/97.</t>
  </si>
  <si>
    <t xml:space="preserve">Aviso Prévio Trabalhado* </t>
  </si>
  <si>
    <t>{[(7/30)/12]x100} = 1,94%</t>
  </si>
  <si>
    <t>Art. 7º, XXI, CF/88, 477, 487 e 491 CLT. Redução de 7 dias ou 2 horas por dia.</t>
  </si>
  <si>
    <t>Incidência de GPS, FGTS e outras contribuições sobre o Aviso Prévio Trabalhado</t>
  </si>
  <si>
    <t>[(Total submódulo 2.2 x 1,94%) x 100]</t>
  </si>
  <si>
    <t>Multa sobre FGTS e contribuição social sobre o aviso prévio indenizado e sobre o aviso prévio trabalhado  (Alterado conforme Lei  nº  13.932/2019 )</t>
  </si>
  <si>
    <t>Retenção de 4% - Conta Vinculada</t>
  </si>
  <si>
    <t>Leis nºs 8.036/90, 9.491/97 e 13.932/2019.
INSTRUÇÃO NORMATIVA Nº 5, DE 26 DE MAIO DE 2017 - ANEXO XII.</t>
  </si>
  <si>
    <t>Nota*</t>
  </si>
  <si>
    <t>De acordo com o entendimento do TCU no Acórdão nº 1.186/2017 - Plenário,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</si>
  <si>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MÓDULO 4 – CUSTO DE REPOSIÇÃO DO PROFISSIONAL AUSENTE</t>
  </si>
  <si>
    <t>Submódulo 4.1 - Substituto nas Ausências Legais</t>
  </si>
  <si>
    <t>Substituto na cobertura de Férias</t>
  </si>
  <si>
    <t> (1/12/12) + (1/12/12) + (1/12/12/3)</t>
  </si>
  <si>
    <t>Art. 7º, VIII, CF/88- Dec. 57.115/65.
Férias, 13º e Adicional de 1/3</t>
  </si>
  <si>
    <t>Substituto na cobertura de Ausências Legais</t>
  </si>
  <si>
    <t>{[(1/30)/12]x100} = 0,277%</t>
  </si>
  <si>
    <t>Art. 473 da CLT. Estimativa de 1 ausênia por ano.</t>
  </si>
  <si>
    <t>Substituto na cobertura de Licença-Paternidade</t>
  </si>
  <si>
    <t>{[(5/30)/12]X0,015}X100=0,02%</t>
  </si>
  <si>
    <t>(Art. 7º, XIX, CFRB c/c art. 10, §1º. 
Estimativa de 1,5% dos funcionários usufruindo 5 dias da licença por ano.</t>
  </si>
  <si>
    <t>Substituto na cobertura de Ausência por acidente de trabalho</t>
  </si>
  <si>
    <t>{[(15/30)/12]x0,08}x100= 0,333%</t>
  </si>
  <si>
    <t>Art. 19 a 23 da Lei 8.213/91, ART. 473, CLT .
Estimativa de 1 licença de 15 dias por ano para 8% dos funcionários.</t>
  </si>
  <si>
    <t>Substituto na cobertura de Afastamento Maternidade</t>
  </si>
  <si>
    <t>[(4 x 8,33%) + (4 x 2,78%) / 12 x 2% = 0,07%</t>
  </si>
  <si>
    <t>Art. 7º, VIII, CF/88, Art. 392, CLT e Lei 11.770/2008. 
Estimativa de 2% dos empregados usufruindo de 4 meses de liceça por ano.</t>
  </si>
  <si>
    <t>Substituto na cobertura de Outras ausências (especificar)</t>
  </si>
  <si>
    <t>TOTAL SUBMÓDULO 4.1</t>
  </si>
  <si>
    <t>Submódulo 4.2 - Intrajornada</t>
  </si>
  <si>
    <t xml:space="preserve"> 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</si>
  <si>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</si>
  <si>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</si>
  <si>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</si>
  <si>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</si>
  <si>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</si>
  <si>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</si>
  <si>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</si>
  <si>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MÓDULO 5 – INSUMOS DIVERSOS</t>
  </si>
  <si>
    <t>INSUMOS DIVERSOS</t>
  </si>
  <si>
    <t>Equipamentos e Ferramentas</t>
  </si>
  <si>
    <t>MÓDULO 6 – CUSTOS INDIRETOS, TRIBUTOS E LUCRO</t>
  </si>
  <si>
    <t>CUSTOS INDIRETOS, TRIBUTOS E LUCRO</t>
  </si>
  <si>
    <t>TOTAL DO MÓDULO 6</t>
  </si>
  <si>
    <t>Auxílio-Refeição/Alimentação [(R$ 49,00) x 22]</t>
  </si>
  <si>
    <t xml:space="preserve">MÓDULO 2 - CUSTO VARIÁVEL MENSAL (FRANQUIA 1.400) </t>
  </si>
  <si>
    <t>QUADRO RESUMO DO CUSTO MENSAL (FRANQUIA 1.400 KM)</t>
  </si>
  <si>
    <t>PREÇO MENSAL POR VEÍCULO  (FRANQUIA 1.400 KM)</t>
  </si>
  <si>
    <t>MÓDULO 2 / 1400</t>
  </si>
  <si>
    <t>Custos Variáveis</t>
  </si>
  <si>
    <t>Km excedente</t>
  </si>
  <si>
    <t>MÓDULO 1 - CUSTO VARIÁVEL POR KM</t>
  </si>
  <si>
    <t>MÓDULO 2 – CUSTOS INDIRETOS, TRIBUTOS E LUCRO (KM EXCEDENTE)</t>
  </si>
  <si>
    <t>PREÇO POR KM EXCEDENTE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</si>
</sst>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&quot;R$&quot;\ #,##0.00"/>
    <numFmt numFmtId="168" formatCode="&quot;R$ &quot;#,##0.00_);[Red]\(&quot;R$ &quot;#,##0.00\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Calibri"/>
      <family val="2"/>
    </font>
    <font>
      <sz val="9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3">
    <xf numFmtId="0" fontId="0" fillId="0" borderId="0" xfId="0"/>
    <xf numFmtId="0" fontId="5" fillId="0" borderId="3" xfId="2" applyFont="1" applyBorder="1" applyAlignment="1">
      <alignment horizontal="center" vertical="center"/>
    </xf>
    <xf numFmtId="0" fontId="6" fillId="0" borderId="3" xfId="2" applyFont="1" applyBorder="1" applyAlignment="1">
      <alignment vertical="center"/>
    </xf>
    <xf numFmtId="0" fontId="5" fillId="0" borderId="5" xfId="2" applyFont="1" applyBorder="1" applyAlignment="1">
      <alignment horizontal="center" vertical="center"/>
    </xf>
    <xf numFmtId="10" fontId="5" fillId="0" borderId="2" xfId="3" applyNumberFormat="1" applyFont="1" applyBorder="1" applyAlignment="1">
      <alignment vertical="center"/>
    </xf>
    <xf numFmtId="0" fontId="3" fillId="0" borderId="0" xfId="2"/>
    <xf numFmtId="0" fontId="4" fillId="0" borderId="0" xfId="2" applyFont="1" applyAlignment="1">
      <alignment vertical="center"/>
    </xf>
    <xf numFmtId="165" fontId="4" fillId="0" borderId="0" xfId="4" applyFont="1" applyAlignment="1">
      <alignment vertical="center"/>
    </xf>
    <xf numFmtId="43" fontId="3" fillId="0" borderId="0" xfId="2" applyNumberFormat="1" applyAlignment="1">
      <alignment vertical="center"/>
    </xf>
    <xf numFmtId="0" fontId="4" fillId="0" borderId="0" xfId="0" applyFont="1" applyAlignment="1">
      <alignment vertical="center"/>
    </xf>
    <xf numFmtId="44" fontId="4" fillId="0" borderId="0" xfId="0" applyNumberFormat="1" applyFont="1" applyAlignment="1">
      <alignment vertical="center"/>
    </xf>
    <xf numFmtId="166" fontId="0" fillId="0" borderId="0" xfId="1" applyFont="1"/>
    <xf numFmtId="43" fontId="0" fillId="0" borderId="0" xfId="0" applyNumberFormat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6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1" fillId="0" borderId="0" xfId="9" applyAlignment="1">
      <alignment horizontal="center"/>
    </xf>
    <xf numFmtId="44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0" fillId="0" borderId="0" xfId="6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164" fontId="0" fillId="8" borderId="0" xfId="6" applyFont="1" applyFill="1" applyBorder="1" applyAlignment="1">
      <alignment horizontal="left" vertical="center"/>
    </xf>
    <xf numFmtId="0" fontId="11" fillId="0" borderId="0" xfId="9" applyBorder="1" applyAlignment="1">
      <alignment vertical="center"/>
    </xf>
    <xf numFmtId="0" fontId="11" fillId="0" borderId="0" xfId="9" applyBorder="1" applyAlignment="1"/>
    <xf numFmtId="164" fontId="0" fillId="9" borderId="0" xfId="6" applyFont="1" applyFill="1" applyBorder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0" fontId="11" fillId="0" borderId="10" xfId="9" applyBorder="1" applyAlignment="1"/>
    <xf numFmtId="0" fontId="0" fillId="0" borderId="10" xfId="0" applyBorder="1" applyAlignment="1">
      <alignment horizontal="center" vertical="center"/>
    </xf>
    <xf numFmtId="164" fontId="0" fillId="8" borderId="10" xfId="6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6" applyFont="1" applyBorder="1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left" vertical="center"/>
    </xf>
    <xf numFmtId="164" fontId="0" fillId="0" borderId="10" xfId="6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9" borderId="0" xfId="6" applyFont="1" applyFill="1" applyBorder="1" applyAlignment="1">
      <alignment horizontal="center" vertical="center"/>
    </xf>
    <xf numFmtId="164" fontId="0" fillId="8" borderId="0" xfId="6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4" fontId="0" fillId="0" borderId="10" xfId="0" applyNumberFormat="1" applyBorder="1" applyAlignment="1">
      <alignment horizontal="center" vertical="center"/>
    </xf>
    <xf numFmtId="164" fontId="0" fillId="9" borderId="10" xfId="6" applyFont="1" applyFill="1" applyBorder="1" applyAlignment="1">
      <alignment horizontal="center" vertical="center"/>
    </xf>
    <xf numFmtId="164" fontId="0" fillId="9" borderId="10" xfId="6" applyFont="1" applyFill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0" fillId="3" borderId="0" xfId="6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3" fillId="3" borderId="0" xfId="0" applyFont="1" applyFill="1" applyAlignment="1">
      <alignment horizontal="justify" vertical="center" wrapText="1"/>
    </xf>
    <xf numFmtId="0" fontId="13" fillId="3" borderId="0" xfId="0" applyFont="1" applyFill="1" applyAlignment="1">
      <alignment horizontal="center" vertical="center" wrapText="1"/>
    </xf>
    <xf numFmtId="1" fontId="13" fillId="3" borderId="0" xfId="0" applyNumberFormat="1" applyFont="1" applyFill="1" applyAlignment="1">
      <alignment horizontal="center" vertical="center" wrapText="1"/>
    </xf>
    <xf numFmtId="167" fontId="13" fillId="3" borderId="0" xfId="0" applyNumberFormat="1" applyFont="1" applyFill="1" applyAlignment="1">
      <alignment horizontal="center" vertical="center" wrapText="1"/>
    </xf>
    <xf numFmtId="167" fontId="12" fillId="2" borderId="10" xfId="0" applyNumberFormat="1" applyFont="1" applyFill="1" applyBorder="1" applyAlignment="1">
      <alignment horizontal="center" vertical="center"/>
    </xf>
    <xf numFmtId="164" fontId="0" fillId="8" borderId="10" xfId="6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3" fillId="0" borderId="0" xfId="2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3" fillId="0" borderId="0" xfId="2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3" fontId="0" fillId="0" borderId="0" xfId="0" applyNumberFormat="1" applyAlignment="1">
      <alignment horizontal="center" vertical="center" wrapText="1"/>
    </xf>
    <xf numFmtId="164" fontId="0" fillId="0" borderId="0" xfId="6" applyFont="1" applyBorder="1" applyAlignment="1">
      <alignment horizontal="center" vertical="center" wrapText="1"/>
    </xf>
    <xf numFmtId="164" fontId="16" fillId="0" borderId="0" xfId="6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6" applyFont="1" applyFill="1" applyBorder="1" applyAlignment="1">
      <alignment horizontal="center" vertical="center" wrapText="1"/>
    </xf>
    <xf numFmtId="164" fontId="17" fillId="2" borderId="12" xfId="6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justify" vertical="center"/>
    </xf>
    <xf numFmtId="49" fontId="9" fillId="7" borderId="15" xfId="0" applyNumberFormat="1" applyFont="1" applyFill="1" applyBorder="1" applyAlignment="1">
      <alignment horizontal="justify" vertical="center"/>
    </xf>
    <xf numFmtId="0" fontId="5" fillId="0" borderId="17" xfId="2" applyFont="1" applyBorder="1" applyAlignment="1">
      <alignment horizontal="center" vertical="center"/>
    </xf>
    <xf numFmtId="10" fontId="5" fillId="0" borderId="16" xfId="3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4" fontId="2" fillId="0" borderId="20" xfId="0" applyNumberFormat="1" applyFont="1" applyBorder="1" applyAlignment="1">
      <alignment horizontal="center" vertical="center" wrapText="1"/>
    </xf>
    <xf numFmtId="0" fontId="3" fillId="0" borderId="19" xfId="2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3" fillId="0" borderId="19" xfId="2" applyBorder="1" applyAlignment="1">
      <alignment vertical="center"/>
    </xf>
    <xf numFmtId="0" fontId="3" fillId="0" borderId="19" xfId="0" applyFont="1" applyBorder="1" applyAlignment="1">
      <alignment vertical="center"/>
    </xf>
    <xf numFmtId="49" fontId="9" fillId="7" borderId="19" xfId="0" applyNumberFormat="1" applyFont="1" applyFill="1" applyBorder="1" applyAlignment="1">
      <alignment horizontal="justify" vertical="center"/>
    </xf>
    <xf numFmtId="10" fontId="3" fillId="0" borderId="19" xfId="3" applyNumberFormat="1" applyBorder="1" applyAlignment="1">
      <alignment horizontal="center" vertical="center"/>
    </xf>
    <xf numFmtId="10" fontId="3" fillId="0" borderId="19" xfId="2" applyNumberFormat="1" applyBorder="1" applyAlignment="1">
      <alignment horizontal="center" vertical="center"/>
    </xf>
    <xf numFmtId="10" fontId="3" fillId="3" borderId="19" xfId="2" applyNumberFormat="1" applyFill="1" applyBorder="1" applyAlignment="1">
      <alignment horizontal="center" vertical="center"/>
    </xf>
    <xf numFmtId="10" fontId="4" fillId="0" borderId="19" xfId="2" applyNumberFormat="1" applyFont="1" applyBorder="1" applyAlignment="1">
      <alignment horizontal="center" vertical="center"/>
    </xf>
    <xf numFmtId="10" fontId="3" fillId="0" borderId="19" xfId="2" applyNumberFormat="1" applyBorder="1" applyAlignment="1">
      <alignment vertical="center"/>
    </xf>
    <xf numFmtId="10" fontId="3" fillId="0" borderId="19" xfId="3" applyNumberFormat="1" applyBorder="1" applyAlignment="1">
      <alignment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 wrapText="1"/>
    </xf>
    <xf numFmtId="167" fontId="12" fillId="3" borderId="20" xfId="0" applyNumberFormat="1" applyFont="1" applyFill="1" applyBorder="1" applyAlignment="1">
      <alignment horizontal="center" vertical="center"/>
    </xf>
    <xf numFmtId="167" fontId="12" fillId="2" borderId="23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left" vertical="center"/>
    </xf>
    <xf numFmtId="164" fontId="0" fillId="9" borderId="16" xfId="6" applyFont="1" applyFill="1" applyBorder="1" applyAlignment="1">
      <alignment horizontal="left" vertical="center"/>
    </xf>
    <xf numFmtId="14" fontId="0" fillId="0" borderId="16" xfId="0" applyNumberFormat="1" applyBorder="1" applyAlignment="1">
      <alignment horizontal="center" vertical="center"/>
    </xf>
    <xf numFmtId="164" fontId="0" fillId="8" borderId="16" xfId="6" applyFont="1" applyFill="1" applyBorder="1" applyAlignment="1">
      <alignment horizontal="center" vertical="center"/>
    </xf>
    <xf numFmtId="164" fontId="0" fillId="9" borderId="16" xfId="6" applyFont="1" applyFill="1" applyBorder="1" applyAlignment="1">
      <alignment horizontal="center" vertical="center"/>
    </xf>
    <xf numFmtId="10" fontId="5" fillId="0" borderId="0" xfId="3" applyNumberFormat="1" applyFont="1" applyAlignment="1">
      <alignment vertical="center"/>
    </xf>
    <xf numFmtId="0" fontId="4" fillId="4" borderId="19" xfId="2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10" fontId="4" fillId="2" borderId="19" xfId="2" applyNumberFormat="1" applyFont="1" applyFill="1" applyBorder="1" applyAlignment="1">
      <alignment horizontal="center" vertical="center"/>
    </xf>
    <xf numFmtId="166" fontId="4" fillId="2" borderId="19" xfId="1" applyFont="1" applyFill="1" applyBorder="1" applyAlignment="1">
      <alignment horizontal="right" vertical="center"/>
    </xf>
    <xf numFmtId="166" fontId="3" fillId="0" borderId="0" xfId="1" applyFont="1" applyAlignment="1">
      <alignment horizontal="center" vertical="center"/>
    </xf>
    <xf numFmtId="166" fontId="4" fillId="4" borderId="19" xfId="1" applyFont="1" applyFill="1" applyBorder="1" applyAlignment="1">
      <alignment horizontal="center" vertical="center"/>
    </xf>
    <xf numFmtId="166" fontId="3" fillId="0" borderId="19" xfId="1" applyFont="1" applyBorder="1" applyAlignment="1">
      <alignment vertical="center"/>
    </xf>
    <xf numFmtId="166" fontId="4" fillId="0" borderId="0" xfId="1" applyFont="1" applyBorder="1" applyAlignment="1">
      <alignment vertical="center"/>
    </xf>
    <xf numFmtId="166" fontId="3" fillId="0" borderId="19" xfId="1" applyFont="1" applyBorder="1" applyAlignment="1">
      <alignment horizontal="right" vertical="center"/>
    </xf>
    <xf numFmtId="166" fontId="4" fillId="0" borderId="19" xfId="1" applyFont="1" applyBorder="1" applyAlignment="1">
      <alignment vertical="center"/>
    </xf>
    <xf numFmtId="166" fontId="3" fillId="0" borderId="19" xfId="1" applyFont="1" applyBorder="1" applyAlignment="1">
      <alignment horizontal="center" vertical="center"/>
    </xf>
    <xf numFmtId="166" fontId="5" fillId="0" borderId="18" xfId="1" applyFont="1" applyBorder="1" applyAlignment="1">
      <alignment vertical="center"/>
    </xf>
    <xf numFmtId="166" fontId="5" fillId="0" borderId="4" xfId="1" applyFont="1" applyBorder="1" applyAlignment="1">
      <alignment vertical="center"/>
    </xf>
    <xf numFmtId="166" fontId="5" fillId="0" borderId="6" xfId="1" applyFont="1" applyBorder="1" applyAlignment="1">
      <alignment vertical="center"/>
    </xf>
    <xf numFmtId="166" fontId="4" fillId="0" borderId="0" xfId="1" applyFont="1" applyAlignment="1">
      <alignment vertical="center"/>
    </xf>
    <xf numFmtId="166" fontId="7" fillId="0" borderId="19" xfId="1" applyFont="1" applyBorder="1" applyAlignment="1">
      <alignment vertical="center"/>
    </xf>
    <xf numFmtId="166" fontId="3" fillId="0" borderId="0" xfId="1" applyFont="1" applyAlignment="1">
      <alignment vertical="center"/>
    </xf>
    <xf numFmtId="0" fontId="4" fillId="2" borderId="19" xfId="2" applyFont="1" applyFill="1" applyBorder="1" applyAlignment="1">
      <alignment horizontal="center" vertical="center"/>
    </xf>
    <xf numFmtId="166" fontId="19" fillId="0" borderId="0" xfId="1" applyFont="1" applyAlignment="1">
      <alignment vertical="center" wrapText="1"/>
    </xf>
    <xf numFmtId="166" fontId="19" fillId="11" borderId="0" xfId="1" applyFont="1" applyFill="1" applyAlignment="1">
      <alignment horizontal="right" vertical="center" wrapText="1"/>
    </xf>
    <xf numFmtId="2" fontId="3" fillId="0" borderId="19" xfId="2" applyNumberFormat="1" applyBorder="1" applyAlignment="1">
      <alignment vertical="center"/>
    </xf>
    <xf numFmtId="2" fontId="4" fillId="0" borderId="19" xfId="2" applyNumberFormat="1" applyFont="1" applyBorder="1" applyAlignment="1">
      <alignment vertical="center"/>
    </xf>
    <xf numFmtId="2" fontId="4" fillId="0" borderId="0" xfId="2" applyNumberFormat="1" applyFont="1" applyAlignment="1">
      <alignment vertical="center"/>
    </xf>
    <xf numFmtId="0" fontId="4" fillId="6" borderId="19" xfId="2" applyFont="1" applyFill="1" applyBorder="1" applyAlignment="1">
      <alignment horizontal="center" vertical="center"/>
    </xf>
    <xf numFmtId="0" fontId="20" fillId="0" borderId="19" xfId="0" applyFont="1" applyBorder="1" applyAlignment="1">
      <alignment horizontal="justify" vertical="center" wrapText="1"/>
    </xf>
    <xf numFmtId="0" fontId="21" fillId="0" borderId="19" xfId="0" applyFont="1" applyBorder="1" applyAlignment="1">
      <alignment horizontal="justify" vertical="center" wrapText="1"/>
    </xf>
    <xf numFmtId="0" fontId="21" fillId="0" borderId="25" xfId="0" applyFont="1" applyBorder="1" applyAlignment="1">
      <alignment horizontal="justify" vertical="center" wrapText="1"/>
    </xf>
    <xf numFmtId="0" fontId="21" fillId="0" borderId="26" xfId="0" applyFont="1" applyBorder="1" applyAlignment="1">
      <alignment horizontal="justify" vertical="center" wrapText="1"/>
    </xf>
    <xf numFmtId="0" fontId="4" fillId="5" borderId="19" xfId="2" applyFont="1" applyFill="1" applyBorder="1" applyAlignment="1">
      <alignment horizontal="center" vertical="center"/>
    </xf>
    <xf numFmtId="10" fontId="4" fillId="6" borderId="19" xfId="2" applyNumberFormat="1" applyFont="1" applyFill="1" applyBorder="1" applyAlignment="1">
      <alignment horizontal="center" vertical="center"/>
    </xf>
    <xf numFmtId="2" fontId="3" fillId="0" borderId="19" xfId="2" applyNumberFormat="1" applyBorder="1" applyAlignment="1">
      <alignment horizontal="right" vertical="center"/>
    </xf>
    <xf numFmtId="2" fontId="3" fillId="3" borderId="19" xfId="2" applyNumberFormat="1" applyFill="1" applyBorder="1" applyAlignment="1">
      <alignment horizontal="right" vertical="center"/>
    </xf>
    <xf numFmtId="0" fontId="20" fillId="0" borderId="19" xfId="0" applyFont="1" applyBorder="1" applyAlignment="1">
      <alignment horizontal="justify" vertical="center"/>
    </xf>
    <xf numFmtId="0" fontId="9" fillId="0" borderId="19" xfId="0" applyFont="1" applyBorder="1" applyAlignment="1">
      <alignment horizontal="justify" vertical="center"/>
    </xf>
    <xf numFmtId="0" fontId="9" fillId="0" borderId="19" xfId="0" applyFont="1" applyBorder="1" applyAlignment="1">
      <alignment horizontal="justify" vertical="center" wrapText="1"/>
    </xf>
    <xf numFmtId="0" fontId="4" fillId="0" borderId="21" xfId="2" applyFont="1" applyBorder="1" applyAlignment="1">
      <alignment horizontal="center" vertical="center"/>
    </xf>
    <xf numFmtId="2" fontId="3" fillId="3" borderId="19" xfId="2" applyNumberFormat="1" applyFill="1" applyBorder="1" applyAlignment="1">
      <alignment vertical="center"/>
    </xf>
    <xf numFmtId="2" fontId="3" fillId="0" borderId="19" xfId="2" applyNumberFormat="1" applyBorder="1" applyAlignment="1">
      <alignment horizontal="center" vertical="center"/>
    </xf>
    <xf numFmtId="2" fontId="5" fillId="0" borderId="18" xfId="2" applyNumberFormat="1" applyFont="1" applyBorder="1" applyAlignment="1">
      <alignment vertical="center"/>
    </xf>
    <xf numFmtId="2" fontId="5" fillId="0" borderId="4" xfId="2" applyNumberFormat="1" applyFont="1" applyBorder="1" applyAlignment="1">
      <alignment vertical="center"/>
    </xf>
    <xf numFmtId="2" fontId="5" fillId="0" borderId="6" xfId="2" applyNumberFormat="1" applyFont="1" applyBorder="1" applyAlignment="1">
      <alignment vertical="center"/>
    </xf>
    <xf numFmtId="164" fontId="7" fillId="0" borderId="19" xfId="2" applyNumberFormat="1" applyFont="1" applyBorder="1" applyAlignment="1">
      <alignment vertical="center"/>
    </xf>
    <xf numFmtId="2" fontId="3" fillId="0" borderId="0" xfId="2" applyNumberFormat="1" applyAlignment="1">
      <alignment vertical="center"/>
    </xf>
    <xf numFmtId="10" fontId="3" fillId="0" borderId="19" xfId="23" applyNumberFormat="1" applyFont="1" applyBorder="1" applyAlignment="1">
      <alignment vertical="center"/>
    </xf>
    <xf numFmtId="166" fontId="18" fillId="2" borderId="12" xfId="1" applyFont="1" applyFill="1" applyBorder="1" applyAlignment="1">
      <alignment horizontal="right" vertical="center" wrapText="1"/>
    </xf>
    <xf numFmtId="0" fontId="2" fillId="10" borderId="8" xfId="0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6" xfId="6" applyFont="1" applyBorder="1" applyAlignment="1">
      <alignment horizontal="center" vertical="center"/>
    </xf>
    <xf numFmtId="164" fontId="0" fillId="0" borderId="0" xfId="6" applyFont="1" applyBorder="1" applyAlignment="1">
      <alignment horizontal="center" vertical="center"/>
    </xf>
    <xf numFmtId="164" fontId="0" fillId="0" borderId="10" xfId="6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0" fillId="0" borderId="0" xfId="6" applyFont="1" applyAlignment="1">
      <alignment horizontal="center" vertical="center"/>
    </xf>
    <xf numFmtId="0" fontId="18" fillId="2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19" xfId="2" applyBorder="1" applyAlignment="1">
      <alignment horizontal="left" vertical="center"/>
    </xf>
    <xf numFmtId="0" fontId="4" fillId="0" borderId="19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4" fillId="2" borderId="19" xfId="2" applyFont="1" applyFill="1" applyBorder="1" applyAlignment="1">
      <alignment horizontal="center" vertical="center"/>
    </xf>
    <xf numFmtId="0" fontId="3" fillId="0" borderId="0" xfId="2" applyAlignment="1">
      <alignment horizontal="left" vertical="center"/>
    </xf>
    <xf numFmtId="0" fontId="5" fillId="0" borderId="16" xfId="2" applyFont="1" applyBorder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4" fillId="0" borderId="19" xfId="2" applyFont="1" applyBorder="1" applyAlignment="1">
      <alignment horizontal="left" vertical="center"/>
    </xf>
    <xf numFmtId="0" fontId="3" fillId="0" borderId="19" xfId="2" applyBorder="1" applyAlignment="1">
      <alignment vertical="center"/>
    </xf>
    <xf numFmtId="0" fontId="4" fillId="5" borderId="27" xfId="2" applyFont="1" applyFill="1" applyBorder="1" applyAlignment="1">
      <alignment horizontal="center" vertical="center"/>
    </xf>
    <xf numFmtId="0" fontId="4" fillId="5" borderId="16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4" fillId="5" borderId="29" xfId="2" applyFont="1" applyFill="1" applyBorder="1" applyAlignment="1">
      <alignment horizontal="center" vertical="center"/>
    </xf>
    <xf numFmtId="0" fontId="4" fillId="5" borderId="2" xfId="2" applyFont="1" applyFill="1" applyBorder="1" applyAlignment="1">
      <alignment horizontal="center" vertical="center"/>
    </xf>
    <xf numFmtId="0" fontId="4" fillId="5" borderId="28" xfId="2" applyFont="1" applyFill="1" applyBorder="1" applyAlignment="1">
      <alignment horizontal="center" vertical="center"/>
    </xf>
    <xf numFmtId="0" fontId="4" fillId="5" borderId="20" xfId="2" applyFont="1" applyFill="1" applyBorder="1" applyAlignment="1">
      <alignment horizontal="center" vertical="center"/>
    </xf>
    <xf numFmtId="0" fontId="3" fillId="0" borderId="19" xfId="2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4" fillId="0" borderId="22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5" borderId="19" xfId="2" applyFont="1" applyFill="1" applyBorder="1" applyAlignment="1">
      <alignment horizontal="center" vertical="center"/>
    </xf>
    <xf numFmtId="0" fontId="4" fillId="5" borderId="21" xfId="2" applyFont="1" applyFill="1" applyBorder="1" applyAlignment="1">
      <alignment horizontal="center" vertical="center"/>
    </xf>
    <xf numFmtId="0" fontId="3" fillId="0" borderId="21" xfId="2" applyBorder="1" applyAlignment="1">
      <alignment horizontal="left" vertical="center"/>
    </xf>
    <xf numFmtId="0" fontId="3" fillId="0" borderId="20" xfId="2" applyBorder="1" applyAlignment="1">
      <alignment horizontal="left" vertical="center"/>
    </xf>
    <xf numFmtId="0" fontId="3" fillId="0" borderId="22" xfId="2" applyBorder="1" applyAlignment="1">
      <alignment horizontal="left" vertical="center"/>
    </xf>
    <xf numFmtId="0" fontId="4" fillId="6" borderId="19" xfId="2" applyFont="1" applyFill="1" applyBorder="1" applyAlignment="1">
      <alignment horizontal="center" vertical="center"/>
    </xf>
    <xf numFmtId="0" fontId="4" fillId="5" borderId="24" xfId="2" applyFont="1" applyFill="1" applyBorder="1" applyAlignment="1">
      <alignment horizontal="center" vertical="center"/>
    </xf>
    <xf numFmtId="0" fontId="4" fillId="5" borderId="0" xfId="2" applyFont="1" applyFill="1" applyAlignment="1">
      <alignment horizontal="center" vertical="center"/>
    </xf>
    <xf numFmtId="14" fontId="3" fillId="0" borderId="19" xfId="2" applyNumberFormat="1" applyBorder="1" applyAlignment="1">
      <alignment horizontal="center" vertical="center"/>
    </xf>
    <xf numFmtId="0" fontId="3" fillId="0" borderId="19" xfId="2" applyBorder="1" applyAlignment="1">
      <alignment horizontal="center" vertical="center"/>
    </xf>
    <xf numFmtId="0" fontId="3" fillId="0" borderId="0" xfId="2" applyAlignment="1">
      <alignment horizontal="center" vertical="center"/>
    </xf>
    <xf numFmtId="168" fontId="3" fillId="0" borderId="19" xfId="2" applyNumberFormat="1" applyBorder="1" applyAlignment="1">
      <alignment horizontal="center" vertical="center"/>
    </xf>
    <xf numFmtId="0" fontId="3" fillId="0" borderId="19" xfId="2" applyBorder="1" applyAlignment="1">
      <alignment horizontal="center" vertical="center" wrapText="1"/>
    </xf>
    <xf numFmtId="0" fontId="3" fillId="0" borderId="2" xfId="2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 vertical="center"/>
    </xf>
    <xf numFmtId="0" fontId="3" fillId="0" borderId="21" xfId="2" applyBorder="1" applyAlignment="1">
      <alignment horizontal="center" vertical="center"/>
    </xf>
    <xf numFmtId="0" fontId="3" fillId="0" borderId="20" xfId="2" applyBorder="1" applyAlignment="1">
      <alignment horizontal="center" vertical="center"/>
    </xf>
    <xf numFmtId="0" fontId="3" fillId="0" borderId="22" xfId="2" applyBorder="1" applyAlignment="1">
      <alignment horizontal="center" vertical="center"/>
    </xf>
    <xf numFmtId="0" fontId="3" fillId="0" borderId="21" xfId="2" applyBorder="1" applyAlignment="1">
      <alignment vertical="center"/>
    </xf>
    <xf numFmtId="0" fontId="3" fillId="0" borderId="20" xfId="2" applyBorder="1" applyAlignment="1">
      <alignment vertical="center"/>
    </xf>
    <xf numFmtId="0" fontId="3" fillId="0" borderId="22" xfId="2" applyBorder="1" applyAlignment="1">
      <alignment vertical="center"/>
    </xf>
    <xf numFmtId="0" fontId="4" fillId="2" borderId="21" xfId="2" applyFont="1" applyFill="1" applyBorder="1" applyAlignment="1">
      <alignment horizontal="center" vertical="center"/>
    </xf>
    <xf numFmtId="0" fontId="4" fillId="2" borderId="20" xfId="2" applyFont="1" applyFill="1" applyBorder="1" applyAlignment="1">
      <alignment horizontal="center" vertical="center"/>
    </xf>
    <xf numFmtId="0" fontId="4" fillId="2" borderId="22" xfId="2" applyFont="1" applyFill="1" applyBorder="1" applyAlignment="1">
      <alignment horizontal="center" vertical="center"/>
    </xf>
    <xf numFmtId="0" fontId="4" fillId="4" borderId="21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22" xfId="2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horizontal="center"/>
    </xf>
  </cellXfs>
  <cellStyles count="24">
    <cellStyle name="Hiperlink" xfId="9" builtinId="8"/>
    <cellStyle name="Moeda" xfId="6" builtinId="4"/>
    <cellStyle name="Moeda 2" xfId="8" xr:uid="{6F3DF74B-83FE-48E8-B7D2-1871FC592213}"/>
    <cellStyle name="Moeda 2 2" xfId="14" xr:uid="{C0DD8BAF-D662-4C6D-9071-31C3DF0E4B60}"/>
    <cellStyle name="Moeda 2 2 2" xfId="21" xr:uid="{D02AC2DC-9F8D-4126-9684-26BF14170553}"/>
    <cellStyle name="Moeda 2 3" xfId="17" xr:uid="{277A10BA-577E-41B6-BC6A-D8AF7E54CCB8}"/>
    <cellStyle name="Moeda 3" xfId="4" xr:uid="{808B5339-4C0D-46E1-8635-0F69445771DA}"/>
    <cellStyle name="Moeda 3 2" xfId="15" xr:uid="{4FD7C20A-DCE7-4847-823A-48B8493947E3}"/>
    <cellStyle name="Moeda 3 2 2" xfId="22" xr:uid="{1E8F6C6E-40CC-444F-978D-A1D373B2D7D0}"/>
    <cellStyle name="Moeda 4" xfId="10" xr:uid="{65684B29-D94A-4E82-BF00-31DE7CF4F75B}"/>
    <cellStyle name="Moeda 4 2" xfId="18" xr:uid="{3AEDAFD0-C331-4ADF-9668-5A31F64D1CAF}"/>
    <cellStyle name="Moeda 5" xfId="12" xr:uid="{41E7B8D0-ADD4-4241-9427-42A1C8087A84}"/>
    <cellStyle name="Moeda 5 2" xfId="19" xr:uid="{6FC385BF-9B98-429F-9CEF-58305C30E9DC}"/>
    <cellStyle name="Moeda 6" xfId="13" xr:uid="{7B01B530-78F4-4AE5-A0F7-B957EB02223C}"/>
    <cellStyle name="Moeda 6 2" xfId="20" xr:uid="{6B462916-E9C1-4B0C-9F1E-F4D79904AC1B}"/>
    <cellStyle name="Normal" xfId="0" builtinId="0"/>
    <cellStyle name="Normal 2" xfId="2" xr:uid="{1465AF81-0025-41F7-A8A9-10FB7BAC5101}"/>
    <cellStyle name="Normal 2 2" xfId="5" xr:uid="{BFAE33D4-1961-435A-A000-505E248F19CB}"/>
    <cellStyle name="Normal 3" xfId="11" xr:uid="{9D20C1B3-08E0-4DA3-8836-E0CE9780436E}"/>
    <cellStyle name="Porcentagem" xfId="23" builtinId="5"/>
    <cellStyle name="Porcentagem 2" xfId="3" xr:uid="{947EA1A2-51CE-4182-9FCF-CB917206EB31}"/>
    <cellStyle name="Vírgula" xfId="1" builtinId="3"/>
    <cellStyle name="Vírgula 2" xfId="7" xr:uid="{35C80681-BE1B-49AA-B9E8-8B152FB6DE6A}"/>
    <cellStyle name="Vírgula 2 2" xfId="16" xr:uid="{CD7425BB-39EE-4333-9533-27BFF7AD2FD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975360</xdr:colOff>
      <xdr:row>2</xdr:row>
      <xdr:rowOff>160020</xdr:rowOff>
    </xdr:to>
    <xdr:pic>
      <xdr:nvPicPr>
        <xdr:cNvPr id="2" name="Imagem 1" descr="anac_comp_horz_esp-cor.png">
          <a:extLst>
            <a:ext uri="{FF2B5EF4-FFF2-40B4-BE49-F238E27FC236}">
              <a16:creationId xmlns:a16="http://schemas.microsoft.com/office/drawing/2014/main" id="{E4F7D353-2858-4D71-8DED-C1DAB03271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97536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975360</xdr:colOff>
      <xdr:row>2</xdr:row>
      <xdr:rowOff>161501</xdr:rowOff>
    </xdr:to>
    <xdr:pic>
      <xdr:nvPicPr>
        <xdr:cNvPr id="2" name="Imagem 1" descr="anac_comp_horz_esp-cor.png">
          <a:extLst>
            <a:ext uri="{FF2B5EF4-FFF2-40B4-BE49-F238E27FC236}">
              <a16:creationId xmlns:a16="http://schemas.microsoft.com/office/drawing/2014/main" id="{79BBE453-4D69-42C7-A5B5-0BBB1CB9EE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975360" cy="34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lario.com.br/profissao/assistente-administrativo-cbo-411010/sao-paulo-sp/" TargetMode="External"/><Relationship Id="rId2" Type="http://schemas.openxmlformats.org/officeDocument/2006/relationships/hyperlink" Target="https://www.infojobs.com.br/salario/assistente-administrativo?il=64&amp;pn=1" TargetMode="External"/><Relationship Id="rId1" Type="http://schemas.openxmlformats.org/officeDocument/2006/relationships/hyperlink" Target="https://dissidio.com.br/salario/assistente-administrativo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D5BD-05E9-45E4-AE56-BA3038B6A274}">
  <dimension ref="B3:J115"/>
  <sheetViews>
    <sheetView showGridLines="0" topLeftCell="A70" zoomScale="80" zoomScaleNormal="80" workbookViewId="0">
      <selection activeCell="H34" sqref="H34"/>
    </sheetView>
  </sheetViews>
  <sheetFormatPr defaultColWidth="8.81640625" defaultRowHeight="14.5" x14ac:dyDescent="0.35"/>
  <cols>
    <col min="1" max="1" width="8.81640625" style="16"/>
    <col min="2" max="2" width="67.81640625" style="16" bestFit="1" customWidth="1"/>
    <col min="3" max="3" width="19.453125" style="16" bestFit="1" customWidth="1"/>
    <col min="4" max="4" width="17.54296875" style="16" customWidth="1"/>
    <col min="5" max="5" width="40.453125" style="16" bestFit="1" customWidth="1"/>
    <col min="6" max="6" width="17.54296875" style="16" bestFit="1" customWidth="1"/>
    <col min="7" max="7" width="15.453125" style="16" bestFit="1" customWidth="1"/>
    <col min="8" max="8" width="16.81640625" style="16" bestFit="1" customWidth="1"/>
    <col min="9" max="9" width="12.54296875" style="16" customWidth="1"/>
    <col min="10" max="10" width="15.54296875" style="16" bestFit="1" customWidth="1"/>
    <col min="11" max="16384" width="8.81640625" style="16"/>
  </cols>
  <sheetData>
    <row r="3" spans="2:10" ht="15" thickBot="1" x14ac:dyDescent="0.4">
      <c r="J3" s="20"/>
    </row>
    <row r="4" spans="2:10" ht="19.5" thickTop="1" thickBot="1" x14ac:dyDescent="0.4">
      <c r="B4" s="165" t="s">
        <v>0</v>
      </c>
      <c r="C4" s="165"/>
      <c r="D4" s="165"/>
      <c r="E4" s="165"/>
      <c r="F4" s="165"/>
      <c r="G4" s="165"/>
      <c r="H4" s="165"/>
      <c r="I4" s="165"/>
      <c r="J4" s="165"/>
    </row>
    <row r="5" spans="2:10" ht="19" thickTop="1" x14ac:dyDescent="0.35">
      <c r="B5" s="39"/>
      <c r="C5" s="39"/>
      <c r="D5" s="39"/>
      <c r="E5" s="39"/>
      <c r="F5" s="39"/>
      <c r="G5" s="39"/>
      <c r="H5" s="39"/>
      <c r="I5" s="39"/>
      <c r="J5" s="39"/>
    </row>
    <row r="6" spans="2:10" ht="18.5" x14ac:dyDescent="0.35">
      <c r="B6" s="39"/>
      <c r="C6" s="39"/>
      <c r="D6" s="39"/>
      <c r="E6" s="39"/>
      <c r="F6" s="39"/>
      <c r="G6" s="39"/>
      <c r="H6" s="39"/>
      <c r="I6" s="39"/>
      <c r="J6" s="39"/>
    </row>
    <row r="7" spans="2:10" ht="15" thickBot="1" x14ac:dyDescent="0.4">
      <c r="J7" s="20"/>
    </row>
    <row r="8" spans="2:10" ht="15" thickTop="1" x14ac:dyDescent="0.35">
      <c r="B8" s="164" t="s">
        <v>1</v>
      </c>
      <c r="C8" s="164"/>
      <c r="D8" s="164"/>
      <c r="E8" s="164"/>
      <c r="F8" s="164"/>
      <c r="G8" s="164"/>
      <c r="H8" s="164"/>
      <c r="I8" s="164"/>
      <c r="J8" s="164"/>
    </row>
    <row r="9" spans="2:10" ht="29" x14ac:dyDescent="0.35">
      <c r="B9" s="33" t="s">
        <v>2</v>
      </c>
      <c r="C9" s="33" t="s">
        <v>3</v>
      </c>
      <c r="D9" s="33" t="s">
        <v>4</v>
      </c>
      <c r="E9" s="33" t="s">
        <v>5</v>
      </c>
      <c r="F9" s="33" t="s">
        <v>6</v>
      </c>
      <c r="G9" s="33" t="s">
        <v>7</v>
      </c>
      <c r="H9" s="33" t="s">
        <v>8</v>
      </c>
      <c r="I9" s="33" t="s">
        <v>9</v>
      </c>
      <c r="J9" s="33" t="s">
        <v>10</v>
      </c>
    </row>
    <row r="10" spans="2:10" x14ac:dyDescent="0.35">
      <c r="B10" s="99" t="s">
        <v>11</v>
      </c>
      <c r="C10" s="100">
        <v>343009</v>
      </c>
      <c r="D10" s="101" t="s">
        <v>12</v>
      </c>
      <c r="E10" s="102" t="s">
        <v>13</v>
      </c>
      <c r="F10" s="101" t="s">
        <v>14</v>
      </c>
      <c r="G10" s="103">
        <v>2729.16</v>
      </c>
      <c r="H10" s="155">
        <f>AVERAGE(G10:G15)</f>
        <v>2273.7511111111112</v>
      </c>
      <c r="I10" s="155">
        <f>STDEV(G10:G15)</f>
        <v>259.9363161123751</v>
      </c>
      <c r="J10" s="161">
        <f>AVERAGE(G11,G12,G13,G15)</f>
        <v>2244.336666666667</v>
      </c>
    </row>
    <row r="11" spans="2:10" x14ac:dyDescent="0.35">
      <c r="B11" s="16" t="s">
        <v>15</v>
      </c>
      <c r="C11" s="18">
        <v>393025</v>
      </c>
      <c r="D11" s="29" t="s">
        <v>16</v>
      </c>
      <c r="E11" s="24" t="s">
        <v>17</v>
      </c>
      <c r="F11" s="29" t="s">
        <v>18</v>
      </c>
      <c r="G11" s="25">
        <v>2309.91</v>
      </c>
      <c r="H11" s="156"/>
      <c r="I11" s="156"/>
      <c r="J11" s="166"/>
    </row>
    <row r="12" spans="2:10" x14ac:dyDescent="0.35">
      <c r="B12" s="16" t="s">
        <v>19</v>
      </c>
      <c r="C12" s="18">
        <v>130067</v>
      </c>
      <c r="D12" s="29" t="s">
        <v>20</v>
      </c>
      <c r="E12" s="24" t="s">
        <v>21</v>
      </c>
      <c r="F12" s="29" t="s">
        <v>22</v>
      </c>
      <c r="G12" s="25">
        <v>2194.35</v>
      </c>
      <c r="H12" s="156"/>
      <c r="I12" s="156"/>
      <c r="J12" s="166"/>
    </row>
    <row r="13" spans="2:10" x14ac:dyDescent="0.35">
      <c r="B13" s="26" t="s">
        <v>23</v>
      </c>
      <c r="C13" s="18" t="s">
        <v>24</v>
      </c>
      <c r="D13" s="18" t="s">
        <v>24</v>
      </c>
      <c r="E13" s="18" t="s">
        <v>24</v>
      </c>
      <c r="F13" s="18" t="s">
        <v>24</v>
      </c>
      <c r="G13" s="25">
        <v>2181.86</v>
      </c>
      <c r="H13" s="156"/>
      <c r="I13" s="156"/>
      <c r="J13" s="166"/>
    </row>
    <row r="14" spans="2:10" x14ac:dyDescent="0.35">
      <c r="B14" s="27" t="s">
        <v>25</v>
      </c>
      <c r="C14" s="18" t="s">
        <v>24</v>
      </c>
      <c r="D14" s="18" t="s">
        <v>24</v>
      </c>
      <c r="E14" s="18" t="s">
        <v>24</v>
      </c>
      <c r="F14" s="18" t="s">
        <v>24</v>
      </c>
      <c r="G14" s="28">
        <v>1936</v>
      </c>
      <c r="H14" s="156"/>
      <c r="I14" s="156"/>
      <c r="J14" s="166"/>
    </row>
    <row r="15" spans="2:10" ht="15" thickBot="1" x14ac:dyDescent="0.4">
      <c r="B15" s="30" t="s">
        <v>26</v>
      </c>
      <c r="C15" s="31" t="s">
        <v>24</v>
      </c>
      <c r="D15" s="31" t="s">
        <v>24</v>
      </c>
      <c r="E15" s="31" t="s">
        <v>24</v>
      </c>
      <c r="F15" s="31" t="s">
        <v>24</v>
      </c>
      <c r="G15" s="32">
        <f>2187.08*44/42</f>
        <v>2291.2266666666665</v>
      </c>
      <c r="H15" s="157"/>
      <c r="I15" s="157"/>
      <c r="J15" s="167"/>
    </row>
    <row r="16" spans="2:10" ht="15" thickTop="1" x14ac:dyDescent="0.35">
      <c r="B16" s="27"/>
      <c r="C16" s="18"/>
      <c r="D16" s="18"/>
      <c r="E16" s="18"/>
      <c r="F16" s="18"/>
      <c r="G16" s="48"/>
      <c r="H16" s="47"/>
      <c r="I16" s="47"/>
      <c r="J16" s="34"/>
    </row>
    <row r="17" spans="2:10" x14ac:dyDescent="0.35">
      <c r="B17" s="19"/>
      <c r="C17" s="19"/>
      <c r="D17" s="19"/>
      <c r="E17" s="19"/>
      <c r="F17" s="19"/>
      <c r="G17" s="17"/>
    </row>
    <row r="18" spans="2:10" ht="15" thickBot="1" x14ac:dyDescent="0.4">
      <c r="I18" s="20"/>
    </row>
    <row r="19" spans="2:10" ht="15" thickTop="1" x14ac:dyDescent="0.35">
      <c r="B19" s="154" t="s">
        <v>27</v>
      </c>
      <c r="C19" s="154"/>
      <c r="D19" s="154"/>
      <c r="E19" s="154"/>
      <c r="F19" s="154"/>
      <c r="G19" s="154"/>
      <c r="H19" s="154"/>
      <c r="I19" s="20"/>
    </row>
    <row r="20" spans="2:10" x14ac:dyDescent="0.35">
      <c r="B20" s="81" t="s">
        <v>2</v>
      </c>
      <c r="C20" s="81" t="s">
        <v>3</v>
      </c>
      <c r="D20" s="81" t="s">
        <v>4</v>
      </c>
      <c r="E20" s="81" t="s">
        <v>5</v>
      </c>
      <c r="F20" s="81" t="s">
        <v>6</v>
      </c>
      <c r="G20" s="81" t="s">
        <v>7</v>
      </c>
      <c r="H20" s="81" t="s">
        <v>8</v>
      </c>
      <c r="I20" s="21"/>
      <c r="J20" s="21"/>
    </row>
    <row r="21" spans="2:10" x14ac:dyDescent="0.35">
      <c r="B21" s="16" t="s">
        <v>11</v>
      </c>
      <c r="C21" s="18">
        <v>343009</v>
      </c>
      <c r="D21" s="29" t="s">
        <v>12</v>
      </c>
      <c r="E21" s="24" t="s">
        <v>13</v>
      </c>
      <c r="F21" s="29" t="s">
        <v>14</v>
      </c>
      <c r="G21" s="35">
        <v>8</v>
      </c>
      <c r="H21" s="162">
        <f>AVERAGE(G21:G27)</f>
        <v>3.2871428571428574</v>
      </c>
      <c r="I21" s="168"/>
      <c r="J21" s="162"/>
    </row>
    <row r="22" spans="2:10" x14ac:dyDescent="0.35">
      <c r="B22" s="16" t="s">
        <v>15</v>
      </c>
      <c r="C22" s="18">
        <v>393025</v>
      </c>
      <c r="D22" s="18" t="s">
        <v>16</v>
      </c>
      <c r="E22" s="16" t="s">
        <v>17</v>
      </c>
      <c r="F22" s="18" t="s">
        <v>18</v>
      </c>
      <c r="G22" s="35">
        <v>1.41</v>
      </c>
      <c r="H22" s="162"/>
      <c r="I22" s="168"/>
      <c r="J22" s="162"/>
    </row>
    <row r="23" spans="2:10" x14ac:dyDescent="0.35">
      <c r="B23" s="16" t="s">
        <v>19</v>
      </c>
      <c r="C23" s="18">
        <v>130067</v>
      </c>
      <c r="D23" s="29" t="s">
        <v>20</v>
      </c>
      <c r="E23" s="16" t="s">
        <v>21</v>
      </c>
      <c r="F23" s="18" t="s">
        <v>22</v>
      </c>
      <c r="G23" s="35">
        <v>2.4</v>
      </c>
      <c r="H23" s="162"/>
      <c r="I23" s="168"/>
      <c r="J23" s="162"/>
    </row>
    <row r="24" spans="2:10" x14ac:dyDescent="0.35">
      <c r="B24" s="16" t="s">
        <v>28</v>
      </c>
      <c r="C24" s="18">
        <v>389423</v>
      </c>
      <c r="D24" s="36" t="s">
        <v>29</v>
      </c>
      <c r="E24" s="16" t="s">
        <v>30</v>
      </c>
      <c r="F24" s="18" t="s">
        <v>31</v>
      </c>
      <c r="G24" s="35">
        <v>2.4</v>
      </c>
      <c r="H24" s="162"/>
      <c r="I24" s="168"/>
      <c r="J24" s="162"/>
    </row>
    <row r="25" spans="2:10" x14ac:dyDescent="0.35">
      <c r="B25" s="16" t="s">
        <v>32</v>
      </c>
      <c r="C25" s="18">
        <v>200050</v>
      </c>
      <c r="D25" s="36" t="s">
        <v>33</v>
      </c>
      <c r="E25" s="16" t="s">
        <v>34</v>
      </c>
      <c r="F25" s="18" t="s">
        <v>35</v>
      </c>
      <c r="G25" s="35">
        <v>0.6</v>
      </c>
      <c r="H25" s="162"/>
      <c r="I25" s="168"/>
      <c r="J25" s="162"/>
    </row>
    <row r="26" spans="2:10" x14ac:dyDescent="0.35">
      <c r="B26" s="16" t="s">
        <v>36</v>
      </c>
      <c r="C26" s="18">
        <v>158154</v>
      </c>
      <c r="D26" s="18" t="s">
        <v>37</v>
      </c>
      <c r="E26" s="16" t="s">
        <v>38</v>
      </c>
      <c r="F26" s="18" t="s">
        <v>39</v>
      </c>
      <c r="G26" s="35">
        <v>7.6</v>
      </c>
      <c r="H26" s="162"/>
      <c r="I26" s="168"/>
      <c r="J26" s="162"/>
    </row>
    <row r="27" spans="2:10" ht="15" thickBot="1" x14ac:dyDescent="0.4">
      <c r="B27" s="37" t="s">
        <v>40</v>
      </c>
      <c r="C27" s="31">
        <v>510178</v>
      </c>
      <c r="D27" s="31" t="s">
        <v>41</v>
      </c>
      <c r="E27" s="37" t="s">
        <v>42</v>
      </c>
      <c r="F27" s="31" t="s">
        <v>43</v>
      </c>
      <c r="G27" s="38">
        <v>0.6</v>
      </c>
      <c r="H27" s="163"/>
      <c r="I27" s="168"/>
      <c r="J27" s="162"/>
    </row>
    <row r="28" spans="2:10" ht="15" thickTop="1" x14ac:dyDescent="0.35">
      <c r="C28" s="18"/>
      <c r="D28" s="18"/>
      <c r="F28" s="18"/>
      <c r="G28" s="35"/>
      <c r="H28" s="23"/>
      <c r="I28" s="22"/>
      <c r="J28" s="23"/>
    </row>
    <row r="30" spans="2:10" ht="15" thickBot="1" x14ac:dyDescent="0.4"/>
    <row r="31" spans="2:10" ht="15" thickTop="1" x14ac:dyDescent="0.35">
      <c r="B31" s="154" t="s">
        <v>44</v>
      </c>
      <c r="C31" s="154"/>
      <c r="D31" s="154"/>
      <c r="E31" s="154"/>
      <c r="F31" s="154"/>
      <c r="G31" s="154"/>
      <c r="H31" s="154"/>
    </row>
    <row r="32" spans="2:10" ht="33.65" customHeight="1" x14ac:dyDescent="0.35">
      <c r="B32" s="82" t="s">
        <v>44</v>
      </c>
      <c r="C32" s="82" t="s">
        <v>6</v>
      </c>
      <c r="D32" s="82" t="s">
        <v>45</v>
      </c>
      <c r="E32" s="82" t="s">
        <v>7</v>
      </c>
      <c r="F32" s="82" t="s">
        <v>8</v>
      </c>
      <c r="G32" s="82" t="s">
        <v>9</v>
      </c>
      <c r="H32" s="83" t="s">
        <v>10</v>
      </c>
      <c r="I32" s="20"/>
      <c r="J32" s="20"/>
    </row>
    <row r="33" spans="2:9" x14ac:dyDescent="0.35">
      <c r="B33" s="16" t="s">
        <v>46</v>
      </c>
      <c r="C33" s="18" t="s">
        <v>47</v>
      </c>
      <c r="D33" s="40">
        <v>44460</v>
      </c>
      <c r="E33" s="41">
        <v>1329</v>
      </c>
      <c r="F33" s="156">
        <f>AVERAGE(E33:E43)</f>
        <v>1468.1872727272728</v>
      </c>
      <c r="G33" s="159">
        <f>STDEV(E33:E43)</f>
        <v>138.40064270738841</v>
      </c>
    </row>
    <row r="34" spans="2:9" x14ac:dyDescent="0.35">
      <c r="B34" s="16" t="s">
        <v>48</v>
      </c>
      <c r="C34" s="18" t="s">
        <v>49</v>
      </c>
      <c r="D34" s="40">
        <v>44460</v>
      </c>
      <c r="E34" s="42">
        <f>1398.95+25.84</f>
        <v>1424.79</v>
      </c>
      <c r="F34" s="156"/>
      <c r="G34" s="159"/>
    </row>
    <row r="35" spans="2:9" x14ac:dyDescent="0.35">
      <c r="B35" s="16" t="s">
        <v>50</v>
      </c>
      <c r="C35" s="18" t="s">
        <v>51</v>
      </c>
      <c r="D35" s="40">
        <v>44460</v>
      </c>
      <c r="E35" s="42">
        <f>1472.63+24.9</f>
        <v>1497.5300000000002</v>
      </c>
      <c r="F35" s="156"/>
      <c r="G35" s="159"/>
    </row>
    <row r="36" spans="2:9" x14ac:dyDescent="0.35">
      <c r="B36" s="16" t="s">
        <v>52</v>
      </c>
      <c r="C36" s="18" t="s">
        <v>53</v>
      </c>
      <c r="D36" s="40">
        <v>44460</v>
      </c>
      <c r="E36" s="42">
        <f>1367+38.84</f>
        <v>1405.84</v>
      </c>
      <c r="F36" s="156"/>
      <c r="G36" s="159"/>
    </row>
    <row r="37" spans="2:9" x14ac:dyDescent="0.35">
      <c r="B37" s="16" t="s">
        <v>54</v>
      </c>
      <c r="C37" s="18" t="s">
        <v>55</v>
      </c>
      <c r="D37" s="40">
        <v>44460</v>
      </c>
      <c r="E37" s="42">
        <f>1328+36.35</f>
        <v>1364.35</v>
      </c>
      <c r="F37" s="156"/>
      <c r="G37" s="159"/>
    </row>
    <row r="38" spans="2:9" x14ac:dyDescent="0.35">
      <c r="B38" s="16" t="s">
        <v>56</v>
      </c>
      <c r="C38" s="18" t="s">
        <v>57</v>
      </c>
      <c r="D38" s="40">
        <v>44460</v>
      </c>
      <c r="E38" s="42">
        <v>1420</v>
      </c>
      <c r="F38" s="156"/>
      <c r="G38" s="159"/>
      <c r="H38" s="43">
        <f>AVERAGE(E34:E42)</f>
        <v>1444.6733333333334</v>
      </c>
    </row>
    <row r="39" spans="2:9" x14ac:dyDescent="0.35">
      <c r="B39" s="16" t="s">
        <v>58</v>
      </c>
      <c r="C39" s="18" t="s">
        <v>59</v>
      </c>
      <c r="D39" s="40">
        <v>44460</v>
      </c>
      <c r="E39" s="42">
        <f>1462.31+29.35</f>
        <v>1491.6599999999999</v>
      </c>
      <c r="F39" s="156"/>
      <c r="G39" s="159"/>
    </row>
    <row r="40" spans="2:9" x14ac:dyDescent="0.35">
      <c r="B40" s="16" t="s">
        <v>60</v>
      </c>
      <c r="C40" s="18" t="s">
        <v>61</v>
      </c>
      <c r="D40" s="40">
        <v>44460</v>
      </c>
      <c r="E40" s="42">
        <f>1443+14.45</f>
        <v>1457.45</v>
      </c>
      <c r="F40" s="156"/>
      <c r="G40" s="159"/>
    </row>
    <row r="41" spans="2:9" x14ac:dyDescent="0.35">
      <c r="B41" s="16" t="s">
        <v>62</v>
      </c>
      <c r="C41" s="18" t="s">
        <v>63</v>
      </c>
      <c r="D41" s="40">
        <v>44460</v>
      </c>
      <c r="E41" s="42">
        <f>1299+51.44</f>
        <v>1350.44</v>
      </c>
      <c r="F41" s="156"/>
      <c r="G41" s="159"/>
    </row>
    <row r="42" spans="2:9" x14ac:dyDescent="0.35">
      <c r="B42" s="16" t="s">
        <v>64</v>
      </c>
      <c r="C42" s="18" t="s">
        <v>65</v>
      </c>
      <c r="D42" s="40">
        <v>44460</v>
      </c>
      <c r="E42" s="42">
        <v>1590</v>
      </c>
      <c r="F42" s="156"/>
      <c r="G42" s="159"/>
    </row>
    <row r="43" spans="2:9" ht="15" thickBot="1" x14ac:dyDescent="0.4">
      <c r="B43" s="37" t="s">
        <v>66</v>
      </c>
      <c r="C43" s="31" t="s">
        <v>67</v>
      </c>
      <c r="D43" s="44">
        <v>44460</v>
      </c>
      <c r="E43" s="45">
        <v>1819</v>
      </c>
      <c r="F43" s="157"/>
      <c r="G43" s="160"/>
      <c r="H43" s="37"/>
    </row>
    <row r="44" spans="2:9" ht="15" thickTop="1" x14ac:dyDescent="0.35">
      <c r="C44" s="18"/>
      <c r="D44" s="40"/>
      <c r="E44" s="22"/>
    </row>
    <row r="45" spans="2:9" x14ac:dyDescent="0.35">
      <c r="C45" s="18"/>
      <c r="D45" s="40"/>
      <c r="E45" s="22"/>
    </row>
    <row r="46" spans="2:9" ht="15" thickBot="1" x14ac:dyDescent="0.4"/>
    <row r="47" spans="2:9" ht="15" thickTop="1" x14ac:dyDescent="0.35">
      <c r="B47" s="154" t="s">
        <v>68</v>
      </c>
      <c r="C47" s="154"/>
      <c r="D47" s="154"/>
      <c r="E47" s="154"/>
      <c r="F47" s="154"/>
      <c r="G47" s="154"/>
      <c r="H47" s="154"/>
    </row>
    <row r="48" spans="2:9" x14ac:dyDescent="0.35">
      <c r="B48" s="81" t="s">
        <v>5</v>
      </c>
      <c r="C48" s="81" t="s">
        <v>6</v>
      </c>
      <c r="D48" s="81" t="s">
        <v>45</v>
      </c>
      <c r="E48" s="81" t="s">
        <v>7</v>
      </c>
      <c r="F48" s="81" t="s">
        <v>8</v>
      </c>
      <c r="G48" s="82" t="s">
        <v>9</v>
      </c>
      <c r="H48" s="83" t="s">
        <v>10</v>
      </c>
      <c r="I48" s="20"/>
    </row>
    <row r="49" spans="2:10" x14ac:dyDescent="0.35">
      <c r="B49" s="16" t="s">
        <v>46</v>
      </c>
      <c r="C49" s="18" t="s">
        <v>47</v>
      </c>
      <c r="D49" s="40">
        <v>44460</v>
      </c>
      <c r="E49" s="41">
        <f>120+49.2</f>
        <v>169.2</v>
      </c>
      <c r="F49" s="156">
        <f>AVERAGE(E49:E56)</f>
        <v>200.8125</v>
      </c>
      <c r="G49" s="159">
        <f>STDEV(E49:E56)</f>
        <v>31.184853809868237</v>
      </c>
      <c r="H49" s="162">
        <f>AVERAGE(E50:E54)</f>
        <v>203.93600000000001</v>
      </c>
    </row>
    <row r="50" spans="2:10" x14ac:dyDescent="0.35">
      <c r="B50" s="16" t="s">
        <v>48</v>
      </c>
      <c r="C50" s="18" t="s">
        <v>69</v>
      </c>
      <c r="D50" s="40">
        <v>44460</v>
      </c>
      <c r="E50" s="42">
        <f>172+32.69</f>
        <v>204.69</v>
      </c>
      <c r="F50" s="156"/>
      <c r="G50" s="159"/>
      <c r="H50" s="162"/>
    </row>
    <row r="51" spans="2:10" x14ac:dyDescent="0.35">
      <c r="B51" s="16" t="s">
        <v>50</v>
      </c>
      <c r="C51" s="18" t="s">
        <v>51</v>
      </c>
      <c r="D51" s="40">
        <v>44460</v>
      </c>
      <c r="E51" s="42">
        <f>192+22.22</f>
        <v>214.22</v>
      </c>
      <c r="F51" s="156"/>
      <c r="G51" s="159"/>
      <c r="H51" s="162"/>
    </row>
    <row r="52" spans="2:10" x14ac:dyDescent="0.35">
      <c r="B52" s="16" t="s">
        <v>52</v>
      </c>
      <c r="C52" s="18" t="s">
        <v>53</v>
      </c>
      <c r="D52" s="40">
        <v>44460</v>
      </c>
      <c r="E52" s="42">
        <f>6*30+32.72</f>
        <v>212.72</v>
      </c>
      <c r="F52" s="156"/>
      <c r="G52" s="159"/>
      <c r="H52" s="162"/>
    </row>
    <row r="53" spans="2:10" x14ac:dyDescent="0.35">
      <c r="B53" s="16" t="s">
        <v>54</v>
      </c>
      <c r="C53" s="18" t="s">
        <v>55</v>
      </c>
      <c r="D53" s="40">
        <v>44460</v>
      </c>
      <c r="E53" s="42">
        <f>29*6+39.71</f>
        <v>213.71</v>
      </c>
      <c r="F53" s="156"/>
      <c r="G53" s="159"/>
      <c r="H53" s="162"/>
    </row>
    <row r="54" spans="2:10" x14ac:dyDescent="0.35">
      <c r="B54" s="16" t="s">
        <v>56</v>
      </c>
      <c r="C54" s="18" t="s">
        <v>57</v>
      </c>
      <c r="D54" s="40">
        <v>44460</v>
      </c>
      <c r="E54" s="25">
        <f>150+24.34</f>
        <v>174.34</v>
      </c>
      <c r="F54" s="156"/>
      <c r="G54" s="159"/>
      <c r="H54" s="162"/>
    </row>
    <row r="55" spans="2:10" x14ac:dyDescent="0.35">
      <c r="B55" s="16" t="s">
        <v>58</v>
      </c>
      <c r="C55" s="18" t="s">
        <v>59</v>
      </c>
      <c r="D55" s="40">
        <v>44460</v>
      </c>
      <c r="E55" s="28">
        <f>135.57+25.93</f>
        <v>161.5</v>
      </c>
      <c r="F55" s="156"/>
      <c r="G55" s="159"/>
      <c r="H55" s="162"/>
    </row>
    <row r="56" spans="2:10" ht="15" thickBot="1" x14ac:dyDescent="0.4">
      <c r="B56" s="37" t="s">
        <v>60</v>
      </c>
      <c r="C56" s="31" t="s">
        <v>61</v>
      </c>
      <c r="D56" s="44">
        <v>44460</v>
      </c>
      <c r="E56" s="46">
        <f>40*6+16.12</f>
        <v>256.12</v>
      </c>
      <c r="F56" s="157"/>
      <c r="G56" s="160"/>
      <c r="H56" s="163"/>
    </row>
    <row r="57" spans="2:10" ht="15" thickTop="1" x14ac:dyDescent="0.35"/>
    <row r="58" spans="2:10" ht="15" thickBot="1" x14ac:dyDescent="0.4"/>
    <row r="59" spans="2:10" ht="15" thickTop="1" x14ac:dyDescent="0.35">
      <c r="B59" s="154" t="s">
        <v>70</v>
      </c>
      <c r="C59" s="154"/>
      <c r="D59" s="154"/>
      <c r="E59" s="154"/>
      <c r="F59" s="154"/>
      <c r="G59" s="154"/>
      <c r="H59" s="154"/>
    </row>
    <row r="60" spans="2:10" x14ac:dyDescent="0.35">
      <c r="B60" s="81" t="s">
        <v>5</v>
      </c>
      <c r="C60" s="81" t="s">
        <v>6</v>
      </c>
      <c r="D60" s="81" t="s">
        <v>45</v>
      </c>
      <c r="E60" s="81" t="s">
        <v>7</v>
      </c>
      <c r="F60" s="81" t="s">
        <v>8</v>
      </c>
      <c r="G60" s="82" t="s">
        <v>9</v>
      </c>
      <c r="H60" s="83" t="s">
        <v>10</v>
      </c>
    </row>
    <row r="61" spans="2:10" x14ac:dyDescent="0.35">
      <c r="B61" s="99" t="s">
        <v>71</v>
      </c>
      <c r="C61" s="100" t="s">
        <v>72</v>
      </c>
      <c r="D61" s="104">
        <v>44455</v>
      </c>
      <c r="E61" s="105">
        <v>56.8</v>
      </c>
      <c r="F61" s="155">
        <f>AVERAGE(E61:E66)</f>
        <v>99.381666666666661</v>
      </c>
      <c r="G61" s="158">
        <f>STDEV(E61:E66)</f>
        <v>48.968716714517541</v>
      </c>
      <c r="H61" s="161">
        <f>AVERAGE(E61,E62,E63,E66)</f>
        <v>69.072499999999991</v>
      </c>
      <c r="I61" s="20"/>
      <c r="J61" s="20"/>
    </row>
    <row r="62" spans="2:10" x14ac:dyDescent="0.35">
      <c r="B62" s="16" t="s">
        <v>73</v>
      </c>
      <c r="C62" s="18" t="s">
        <v>72</v>
      </c>
      <c r="D62" s="40">
        <v>44455</v>
      </c>
      <c r="E62" s="42">
        <v>53</v>
      </c>
      <c r="F62" s="156"/>
      <c r="G62" s="159"/>
      <c r="H62" s="162"/>
      <c r="I62" s="20"/>
      <c r="J62" s="20"/>
    </row>
    <row r="63" spans="2:10" x14ac:dyDescent="0.35">
      <c r="B63" s="16" t="s">
        <v>74</v>
      </c>
      <c r="C63" s="18" t="s">
        <v>75</v>
      </c>
      <c r="D63" s="40">
        <v>44463</v>
      </c>
      <c r="E63" s="42">
        <v>75.989999999999995</v>
      </c>
      <c r="F63" s="156"/>
      <c r="G63" s="159"/>
      <c r="H63" s="162"/>
      <c r="J63" s="20"/>
    </row>
    <row r="64" spans="2:10" x14ac:dyDescent="0.35">
      <c r="B64" s="16" t="s">
        <v>76</v>
      </c>
      <c r="C64" s="18" t="s">
        <v>77</v>
      </c>
      <c r="D64" s="40">
        <v>44455</v>
      </c>
      <c r="E64" s="41">
        <v>165</v>
      </c>
      <c r="F64" s="156"/>
      <c r="G64" s="159"/>
      <c r="H64" s="162"/>
    </row>
    <row r="65" spans="2:10" x14ac:dyDescent="0.35">
      <c r="B65" s="16" t="s">
        <v>78</v>
      </c>
      <c r="C65" s="18" t="s">
        <v>77</v>
      </c>
      <c r="D65" s="40">
        <v>44455</v>
      </c>
      <c r="E65" s="41">
        <v>155</v>
      </c>
      <c r="F65" s="156"/>
      <c r="G65" s="159"/>
      <c r="H65" s="162"/>
    </row>
    <row r="66" spans="2:10" ht="15" thickBot="1" x14ac:dyDescent="0.4">
      <c r="B66" s="37" t="s">
        <v>79</v>
      </c>
      <c r="C66" s="31" t="s">
        <v>80</v>
      </c>
      <c r="D66" s="44">
        <v>44463</v>
      </c>
      <c r="E66" s="55">
        <v>90.5</v>
      </c>
      <c r="F66" s="157"/>
      <c r="G66" s="160"/>
      <c r="H66" s="163"/>
    </row>
    <row r="67" spans="2:10" ht="15" thickTop="1" x14ac:dyDescent="0.35"/>
    <row r="68" spans="2:10" ht="15" thickBot="1" x14ac:dyDescent="0.4"/>
    <row r="69" spans="2:10" ht="15" thickTop="1" x14ac:dyDescent="0.35">
      <c r="B69" s="154" t="s">
        <v>81</v>
      </c>
      <c r="C69" s="154"/>
      <c r="D69" s="154"/>
      <c r="E69" s="154"/>
      <c r="F69" s="154"/>
      <c r="G69" s="154"/>
      <c r="H69" s="154"/>
    </row>
    <row r="70" spans="2:10" x14ac:dyDescent="0.35">
      <c r="B70" s="81" t="s">
        <v>5</v>
      </c>
      <c r="C70" s="81" t="s">
        <v>6</v>
      </c>
      <c r="D70" s="81" t="s">
        <v>45</v>
      </c>
      <c r="E70" s="81" t="s">
        <v>7</v>
      </c>
      <c r="F70" s="81" t="s">
        <v>8</v>
      </c>
      <c r="G70" s="82" t="s">
        <v>9</v>
      </c>
      <c r="H70" s="83" t="s">
        <v>10</v>
      </c>
      <c r="J70" s="20"/>
    </row>
    <row r="71" spans="2:10" x14ac:dyDescent="0.35">
      <c r="B71" s="99" t="s">
        <v>73</v>
      </c>
      <c r="C71" s="100" t="s">
        <v>72</v>
      </c>
      <c r="D71" s="104">
        <v>44455</v>
      </c>
      <c r="E71" s="106">
        <v>48.4</v>
      </c>
      <c r="F71" s="155">
        <f>AVERAGE(E71:E77)</f>
        <v>88.308571428571426</v>
      </c>
      <c r="G71" s="158">
        <f>STDEV(E71:E77)</f>
        <v>26.466185613956203</v>
      </c>
      <c r="H71" s="161">
        <f>AVERAGE(E72:E75)</f>
        <v>82.467500000000001</v>
      </c>
      <c r="J71" s="20"/>
    </row>
    <row r="72" spans="2:10" x14ac:dyDescent="0.35">
      <c r="B72" s="16" t="s">
        <v>82</v>
      </c>
      <c r="C72" s="18" t="s">
        <v>83</v>
      </c>
      <c r="D72" s="40">
        <v>44463</v>
      </c>
      <c r="E72" s="42">
        <v>69.989999999999995</v>
      </c>
      <c r="F72" s="156"/>
      <c r="G72" s="159"/>
      <c r="H72" s="162"/>
      <c r="I72" s="20"/>
      <c r="J72" s="20"/>
    </row>
    <row r="73" spans="2:10" x14ac:dyDescent="0.35">
      <c r="B73" s="16" t="s">
        <v>84</v>
      </c>
      <c r="C73" s="18" t="s">
        <v>85</v>
      </c>
      <c r="D73" s="40">
        <v>44463</v>
      </c>
      <c r="E73" s="42">
        <v>99.9</v>
      </c>
      <c r="F73" s="156"/>
      <c r="G73" s="159"/>
      <c r="H73" s="162"/>
      <c r="I73" s="20"/>
    </row>
    <row r="74" spans="2:10" x14ac:dyDescent="0.35">
      <c r="B74" s="16" t="s">
        <v>86</v>
      </c>
      <c r="C74" s="18" t="s">
        <v>87</v>
      </c>
      <c r="D74" s="40">
        <v>44463</v>
      </c>
      <c r="E74" s="42">
        <v>79.989999999999995</v>
      </c>
      <c r="F74" s="156"/>
      <c r="G74" s="159"/>
      <c r="H74" s="162"/>
    </row>
    <row r="75" spans="2:10" x14ac:dyDescent="0.35">
      <c r="B75" s="16" t="s">
        <v>88</v>
      </c>
      <c r="C75" s="18" t="s">
        <v>89</v>
      </c>
      <c r="D75" s="40">
        <v>44463</v>
      </c>
      <c r="E75" s="42">
        <v>79.989999999999995</v>
      </c>
      <c r="F75" s="156"/>
      <c r="G75" s="159"/>
      <c r="H75" s="162"/>
    </row>
    <row r="76" spans="2:10" x14ac:dyDescent="0.35">
      <c r="B76" s="16" t="s">
        <v>90</v>
      </c>
      <c r="C76" s="18" t="s">
        <v>91</v>
      </c>
      <c r="D76" s="40">
        <v>44463</v>
      </c>
      <c r="E76" s="41">
        <v>119.99</v>
      </c>
      <c r="F76" s="156"/>
      <c r="G76" s="159"/>
      <c r="H76" s="162"/>
    </row>
    <row r="77" spans="2:10" ht="15" thickBot="1" x14ac:dyDescent="0.4">
      <c r="B77" s="37" t="s">
        <v>92</v>
      </c>
      <c r="C77" s="31" t="s">
        <v>93</v>
      </c>
      <c r="D77" s="44">
        <v>44463</v>
      </c>
      <c r="E77" s="45">
        <v>119.9</v>
      </c>
      <c r="F77" s="157"/>
      <c r="G77" s="160"/>
      <c r="H77" s="163"/>
    </row>
    <row r="78" spans="2:10" ht="15" thickTop="1" x14ac:dyDescent="0.35"/>
    <row r="79" spans="2:10" ht="15" thickBot="1" x14ac:dyDescent="0.4"/>
    <row r="80" spans="2:10" ht="15" thickTop="1" x14ac:dyDescent="0.35">
      <c r="B80" s="154" t="s">
        <v>94</v>
      </c>
      <c r="C80" s="154"/>
      <c r="D80" s="154"/>
      <c r="E80" s="154"/>
      <c r="F80" s="154"/>
      <c r="G80" s="154"/>
      <c r="H80" s="154"/>
    </row>
    <row r="81" spans="2:10" x14ac:dyDescent="0.35">
      <c r="B81" s="81" t="s">
        <v>5</v>
      </c>
      <c r="C81" s="81" t="s">
        <v>6</v>
      </c>
      <c r="D81" s="81" t="s">
        <v>45</v>
      </c>
      <c r="E81" s="81" t="s">
        <v>7</v>
      </c>
      <c r="F81" s="81" t="s">
        <v>8</v>
      </c>
      <c r="G81" s="82" t="s">
        <v>9</v>
      </c>
      <c r="H81" s="83" t="s">
        <v>10</v>
      </c>
    </row>
    <row r="82" spans="2:10" x14ac:dyDescent="0.35">
      <c r="B82" s="99" t="s">
        <v>95</v>
      </c>
      <c r="C82" s="100" t="s">
        <v>96</v>
      </c>
      <c r="D82" s="104">
        <v>44463</v>
      </c>
      <c r="E82" s="105">
        <v>69.989999999999995</v>
      </c>
      <c r="F82" s="155">
        <f>AVERAGE(E82:E87)</f>
        <v>58.793333333333329</v>
      </c>
      <c r="G82" s="158">
        <f>STDEV(E82:E87)</f>
        <v>23.56617972151335</v>
      </c>
      <c r="H82" s="161">
        <f>AVERAGE(E82,E84,E85,E86,E87)</f>
        <v>50.572000000000003</v>
      </c>
    </row>
    <row r="83" spans="2:10" x14ac:dyDescent="0.35">
      <c r="B83" s="16" t="s">
        <v>97</v>
      </c>
      <c r="C83" s="18" t="s">
        <v>98</v>
      </c>
      <c r="D83" s="40">
        <v>44463</v>
      </c>
      <c r="E83" s="41">
        <v>99.9</v>
      </c>
      <c r="F83" s="156"/>
      <c r="G83" s="159"/>
      <c r="H83" s="162"/>
      <c r="I83" s="20"/>
    </row>
    <row r="84" spans="2:10" x14ac:dyDescent="0.35">
      <c r="B84" s="16" t="s">
        <v>99</v>
      </c>
      <c r="C84" s="18" t="s">
        <v>87</v>
      </c>
      <c r="D84" s="40">
        <v>44463</v>
      </c>
      <c r="E84" s="42">
        <v>59.99</v>
      </c>
      <c r="F84" s="156"/>
      <c r="G84" s="159"/>
      <c r="H84" s="162"/>
      <c r="I84" s="20"/>
    </row>
    <row r="85" spans="2:10" x14ac:dyDescent="0.35">
      <c r="B85" s="16" t="s">
        <v>100</v>
      </c>
      <c r="C85" s="18" t="s">
        <v>89</v>
      </c>
      <c r="D85" s="40">
        <v>44463</v>
      </c>
      <c r="E85" s="42">
        <v>42.99</v>
      </c>
      <c r="F85" s="156"/>
      <c r="G85" s="159"/>
      <c r="H85" s="162"/>
    </row>
    <row r="86" spans="2:10" x14ac:dyDescent="0.35">
      <c r="B86" s="16" t="s">
        <v>101</v>
      </c>
      <c r="C86" s="18" t="s">
        <v>91</v>
      </c>
      <c r="D86" s="40">
        <v>44463</v>
      </c>
      <c r="E86" s="42">
        <v>39.99</v>
      </c>
      <c r="F86" s="156"/>
      <c r="G86" s="159"/>
      <c r="H86" s="162"/>
    </row>
    <row r="87" spans="2:10" ht="15" thickBot="1" x14ac:dyDescent="0.4">
      <c r="B87" s="37" t="s">
        <v>102</v>
      </c>
      <c r="C87" s="31" t="s">
        <v>93</v>
      </c>
      <c r="D87" s="44">
        <v>44463</v>
      </c>
      <c r="E87" s="55">
        <v>39.9</v>
      </c>
      <c r="F87" s="157"/>
      <c r="G87" s="160"/>
      <c r="H87" s="163"/>
    </row>
    <row r="88" spans="2:10" ht="15" thickTop="1" x14ac:dyDescent="0.35"/>
    <row r="89" spans="2:10" ht="15" thickBot="1" x14ac:dyDescent="0.4"/>
    <row r="90" spans="2:10" ht="15" thickTop="1" x14ac:dyDescent="0.35">
      <c r="B90" s="154" t="s">
        <v>103</v>
      </c>
      <c r="C90" s="154"/>
      <c r="D90" s="154"/>
      <c r="E90" s="154"/>
      <c r="F90" s="154"/>
      <c r="G90" s="154"/>
      <c r="H90" s="154"/>
    </row>
    <row r="91" spans="2:10" x14ac:dyDescent="0.35">
      <c r="B91" s="81" t="s">
        <v>5</v>
      </c>
      <c r="C91" s="81" t="s">
        <v>6</v>
      </c>
      <c r="D91" s="81" t="s">
        <v>45</v>
      </c>
      <c r="E91" s="81" t="s">
        <v>7</v>
      </c>
      <c r="F91" s="81" t="s">
        <v>8</v>
      </c>
      <c r="G91" s="82" t="s">
        <v>9</v>
      </c>
      <c r="H91" s="83" t="s">
        <v>10</v>
      </c>
    </row>
    <row r="92" spans="2:10" x14ac:dyDescent="0.35">
      <c r="B92" s="99" t="s">
        <v>104</v>
      </c>
      <c r="C92" s="100" t="s">
        <v>105</v>
      </c>
      <c r="D92" s="104">
        <v>44463</v>
      </c>
      <c r="E92" s="105">
        <v>169.9</v>
      </c>
      <c r="F92" s="155">
        <f>AVERAGE(E92:E97)</f>
        <v>125.42666666666666</v>
      </c>
      <c r="G92" s="158">
        <f>STDEV(E92:E97)</f>
        <v>61.579166498635466</v>
      </c>
      <c r="H92" s="161">
        <f>AVERAGE(E92,E93,E94,E96)</f>
        <v>120.66749999999999</v>
      </c>
      <c r="J92" s="20"/>
    </row>
    <row r="93" spans="2:10" x14ac:dyDescent="0.35">
      <c r="B93" s="16" t="s">
        <v>106</v>
      </c>
      <c r="C93" s="18" t="s">
        <v>107</v>
      </c>
      <c r="D93" s="40">
        <v>44463</v>
      </c>
      <c r="E93" s="42">
        <v>92.97</v>
      </c>
      <c r="F93" s="156"/>
      <c r="G93" s="159"/>
      <c r="H93" s="162"/>
      <c r="J93" s="20"/>
    </row>
    <row r="94" spans="2:10" x14ac:dyDescent="0.35">
      <c r="B94" s="16" t="s">
        <v>108</v>
      </c>
      <c r="C94" s="18" t="s">
        <v>109</v>
      </c>
      <c r="D94" s="40">
        <v>44463</v>
      </c>
      <c r="E94" s="42">
        <v>129.9</v>
      </c>
      <c r="F94" s="156"/>
      <c r="G94" s="159"/>
      <c r="H94" s="162"/>
    </row>
    <row r="95" spans="2:10" x14ac:dyDescent="0.35">
      <c r="B95" s="16" t="s">
        <v>110</v>
      </c>
      <c r="C95" s="18" t="s">
        <v>111</v>
      </c>
      <c r="D95" s="40">
        <v>44463</v>
      </c>
      <c r="E95" s="41">
        <v>219.99</v>
      </c>
      <c r="F95" s="156"/>
      <c r="G95" s="159"/>
      <c r="H95" s="162"/>
    </row>
    <row r="96" spans="2:10" x14ac:dyDescent="0.35">
      <c r="B96" s="16" t="s">
        <v>112</v>
      </c>
      <c r="C96" s="18" t="s">
        <v>113</v>
      </c>
      <c r="D96" s="40">
        <v>44463</v>
      </c>
      <c r="E96" s="42">
        <v>89.9</v>
      </c>
      <c r="F96" s="156"/>
      <c r="G96" s="159"/>
      <c r="H96" s="162"/>
    </row>
    <row r="97" spans="2:9" ht="15" thickBot="1" x14ac:dyDescent="0.4">
      <c r="B97" s="37" t="s">
        <v>92</v>
      </c>
      <c r="C97" s="31" t="s">
        <v>93</v>
      </c>
      <c r="D97" s="44">
        <v>44463</v>
      </c>
      <c r="E97" s="45">
        <v>49.9</v>
      </c>
      <c r="F97" s="157"/>
      <c r="G97" s="160"/>
      <c r="H97" s="163"/>
    </row>
    <row r="98" spans="2:9" ht="15" thickTop="1" x14ac:dyDescent="0.35"/>
    <row r="99" spans="2:9" ht="15" thickBot="1" x14ac:dyDescent="0.4"/>
    <row r="100" spans="2:9" ht="15" thickTop="1" x14ac:dyDescent="0.35">
      <c r="B100" s="164" t="s">
        <v>114</v>
      </c>
      <c r="C100" s="164"/>
      <c r="D100" s="164"/>
      <c r="E100" s="164"/>
      <c r="F100" s="164"/>
      <c r="G100" s="58"/>
      <c r="H100" s="58"/>
    </row>
    <row r="101" spans="2:9" x14ac:dyDescent="0.35">
      <c r="B101" s="81" t="s">
        <v>5</v>
      </c>
      <c r="C101" s="81" t="s">
        <v>6</v>
      </c>
      <c r="D101" s="81" t="s">
        <v>45</v>
      </c>
      <c r="E101" s="81" t="s">
        <v>7</v>
      </c>
      <c r="F101" s="81" t="s">
        <v>8</v>
      </c>
      <c r="G101" s="56"/>
      <c r="H101" s="57"/>
    </row>
    <row r="102" spans="2:9" x14ac:dyDescent="0.35">
      <c r="B102" s="16" t="s">
        <v>115</v>
      </c>
      <c r="C102" s="18" t="s">
        <v>111</v>
      </c>
      <c r="D102" s="40">
        <v>44463</v>
      </c>
      <c r="E102" s="105">
        <v>74.989999999999995</v>
      </c>
      <c r="F102" s="161">
        <f>AVERAGE(E102:E104)</f>
        <v>71.296666666666667</v>
      </c>
      <c r="G102" s="159"/>
      <c r="H102" s="162"/>
    </row>
    <row r="103" spans="2:9" x14ac:dyDescent="0.35">
      <c r="B103" s="16" t="s">
        <v>116</v>
      </c>
      <c r="C103" s="18" t="s">
        <v>117</v>
      </c>
      <c r="D103" s="40">
        <v>44463</v>
      </c>
      <c r="E103" s="42">
        <v>79.900000000000006</v>
      </c>
      <c r="F103" s="162"/>
      <c r="G103" s="159"/>
      <c r="H103" s="162"/>
    </row>
    <row r="104" spans="2:9" ht="15" thickBot="1" x14ac:dyDescent="0.4">
      <c r="B104" s="37" t="s">
        <v>118</v>
      </c>
      <c r="C104" s="31" t="s">
        <v>119</v>
      </c>
      <c r="D104" s="44">
        <v>44463</v>
      </c>
      <c r="E104" s="55">
        <v>59</v>
      </c>
      <c r="F104" s="163"/>
      <c r="G104" s="159"/>
      <c r="H104" s="162"/>
    </row>
    <row r="105" spans="2:9" ht="15" thickTop="1" x14ac:dyDescent="0.35"/>
    <row r="106" spans="2:9" ht="15" thickBot="1" x14ac:dyDescent="0.4"/>
    <row r="107" spans="2:9" ht="15" thickTop="1" x14ac:dyDescent="0.35">
      <c r="B107" s="154" t="s">
        <v>120</v>
      </c>
      <c r="C107" s="154"/>
      <c r="D107" s="154"/>
      <c r="E107" s="154"/>
      <c r="F107" s="154"/>
      <c r="G107" s="154"/>
      <c r="H107" s="154"/>
    </row>
    <row r="108" spans="2:9" x14ac:dyDescent="0.35">
      <c r="B108" s="81" t="s">
        <v>5</v>
      </c>
      <c r="C108" s="81" t="s">
        <v>6</v>
      </c>
      <c r="D108" s="81" t="s">
        <v>45</v>
      </c>
      <c r="E108" s="81" t="s">
        <v>7</v>
      </c>
      <c r="F108" s="81" t="s">
        <v>8</v>
      </c>
      <c r="G108" s="82" t="s">
        <v>9</v>
      </c>
      <c r="H108" s="83" t="s">
        <v>10</v>
      </c>
      <c r="I108" s="20"/>
    </row>
    <row r="109" spans="2:9" x14ac:dyDescent="0.35">
      <c r="B109" s="99" t="s">
        <v>121</v>
      </c>
      <c r="C109" s="100" t="s">
        <v>122</v>
      </c>
      <c r="D109" s="104">
        <v>44467</v>
      </c>
      <c r="E109" s="106">
        <f>26.99/12</f>
        <v>2.2491666666666665</v>
      </c>
      <c r="F109" s="155">
        <f>AVERAGE(E109:E114)</f>
        <v>4.7095555555555553</v>
      </c>
      <c r="G109" s="158">
        <f>STDEV(E109:E114)</f>
        <v>2.0867551676297889</v>
      </c>
      <c r="H109" s="161">
        <f>AVERAGE(E110,E111,E112,E114)</f>
        <v>4.7422916666666666</v>
      </c>
      <c r="I109" s="20"/>
    </row>
    <row r="110" spans="2:9" x14ac:dyDescent="0.35">
      <c r="B110" s="16" t="s">
        <v>123</v>
      </c>
      <c r="C110" s="18" t="s">
        <v>124</v>
      </c>
      <c r="D110" s="40">
        <v>44467</v>
      </c>
      <c r="E110" s="42">
        <f>39.99/12</f>
        <v>3.3325</v>
      </c>
      <c r="F110" s="156"/>
      <c r="G110" s="159"/>
      <c r="H110" s="162"/>
    </row>
    <row r="111" spans="2:9" x14ac:dyDescent="0.35">
      <c r="B111" s="16" t="s">
        <v>100</v>
      </c>
      <c r="C111" s="18" t="s">
        <v>89</v>
      </c>
      <c r="D111" s="40">
        <v>44467</v>
      </c>
      <c r="E111" s="42">
        <f>19.99/3</f>
        <v>6.6633333333333331</v>
      </c>
      <c r="F111" s="156"/>
      <c r="G111" s="159"/>
      <c r="H111" s="162"/>
    </row>
    <row r="112" spans="2:9" x14ac:dyDescent="0.35">
      <c r="B112" s="16" t="s">
        <v>125</v>
      </c>
      <c r="C112" s="18" t="s">
        <v>93</v>
      </c>
      <c r="D112" s="40">
        <v>44467</v>
      </c>
      <c r="E112" s="42">
        <f>35.9/6</f>
        <v>5.9833333333333334</v>
      </c>
      <c r="F112" s="156"/>
      <c r="G112" s="159"/>
      <c r="H112" s="162"/>
    </row>
    <row r="113" spans="2:8" x14ac:dyDescent="0.35">
      <c r="B113" s="16" t="s">
        <v>126</v>
      </c>
      <c r="C113" s="18" t="s">
        <v>127</v>
      </c>
      <c r="D113" s="40">
        <v>44467</v>
      </c>
      <c r="E113" s="41">
        <f>70.39/10</f>
        <v>7.0389999999999997</v>
      </c>
      <c r="F113" s="156"/>
      <c r="G113" s="159"/>
      <c r="H113" s="162"/>
    </row>
    <row r="114" spans="2:8" ht="15" thickBot="1" x14ac:dyDescent="0.4">
      <c r="B114" s="37" t="s">
        <v>128</v>
      </c>
      <c r="C114" s="31" t="s">
        <v>129</v>
      </c>
      <c r="D114" s="44">
        <v>44467</v>
      </c>
      <c r="E114" s="55">
        <f>29.9/10</f>
        <v>2.9899999999999998</v>
      </c>
      <c r="F114" s="157"/>
      <c r="G114" s="160"/>
      <c r="H114" s="163"/>
    </row>
    <row r="115" spans="2:8" ht="15" thickTop="1" x14ac:dyDescent="0.35"/>
  </sheetData>
  <dataConsolidate/>
  <mergeCells count="40">
    <mergeCell ref="F71:F77"/>
    <mergeCell ref="G71:G77"/>
    <mergeCell ref="H71:H77"/>
    <mergeCell ref="B59:H59"/>
    <mergeCell ref="F61:F66"/>
    <mergeCell ref="G61:G66"/>
    <mergeCell ref="H61:H66"/>
    <mergeCell ref="B69:H69"/>
    <mergeCell ref="F49:F56"/>
    <mergeCell ref="G49:G56"/>
    <mergeCell ref="H49:H56"/>
    <mergeCell ref="B4:J4"/>
    <mergeCell ref="B19:H19"/>
    <mergeCell ref="F33:F43"/>
    <mergeCell ref="G33:G43"/>
    <mergeCell ref="B31:H31"/>
    <mergeCell ref="B47:H47"/>
    <mergeCell ref="J10:J15"/>
    <mergeCell ref="H21:H27"/>
    <mergeCell ref="I21:I27"/>
    <mergeCell ref="J21:J27"/>
    <mergeCell ref="B8:J8"/>
    <mergeCell ref="H10:H15"/>
    <mergeCell ref="I10:I15"/>
    <mergeCell ref="B80:H80"/>
    <mergeCell ref="F82:F87"/>
    <mergeCell ref="G82:G87"/>
    <mergeCell ref="H82:H87"/>
    <mergeCell ref="B90:H90"/>
    <mergeCell ref="B107:H107"/>
    <mergeCell ref="F109:F114"/>
    <mergeCell ref="G109:G114"/>
    <mergeCell ref="H109:H114"/>
    <mergeCell ref="F92:F97"/>
    <mergeCell ref="G92:G97"/>
    <mergeCell ref="H92:H97"/>
    <mergeCell ref="F102:F104"/>
    <mergeCell ref="G102:G104"/>
    <mergeCell ref="H102:H104"/>
    <mergeCell ref="B100:F100"/>
  </mergeCells>
  <hyperlinks>
    <hyperlink ref="B13" r:id="rId1" xr:uid="{4448B5D0-9D4E-4F19-82AD-0AA24108134F}"/>
    <hyperlink ref="B14" r:id="rId2" display="https://www.infojobs.com.br/salario/assistente-administrativo?il=64&amp;pn=1" xr:uid="{3B8779DF-C0C7-4E8A-96E1-30BB0EDE4596}"/>
    <hyperlink ref="B15" r:id="rId3" display="https://www.salario.com.br/profissao/assistente-administrativo-cbo-411010/sao-paulo-sp/" xr:uid="{C6B92069-CEA7-4F51-9D28-CDE4AE5339D0}"/>
  </hyperlink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00899-8D90-4FBD-9C9E-9E6FF5C66136}">
  <sheetPr>
    <pageSetUpPr fitToPage="1"/>
  </sheetPr>
  <dimension ref="B1:L11"/>
  <sheetViews>
    <sheetView showGridLines="0" tabSelected="1" topLeftCell="A9" workbookViewId="0">
      <selection activeCell="F9" sqref="F9"/>
    </sheetView>
  </sheetViews>
  <sheetFormatPr defaultRowHeight="14.5" x14ac:dyDescent="0.35"/>
  <cols>
    <col min="1" max="1" width="4.1796875" customWidth="1"/>
    <col min="2" max="2" width="14" customWidth="1"/>
    <col min="3" max="3" width="59.453125" customWidth="1"/>
    <col min="4" max="4" width="17.7265625" customWidth="1"/>
    <col min="5" max="5" width="21.81640625" customWidth="1"/>
    <col min="6" max="6" width="18.26953125" customWidth="1"/>
    <col min="7" max="8" width="25.81640625" customWidth="1"/>
  </cols>
  <sheetData>
    <row r="1" spans="2:12" ht="21" customHeight="1" x14ac:dyDescent="0.35">
      <c r="B1" s="170" t="s">
        <v>248</v>
      </c>
      <c r="C1" s="170"/>
      <c r="D1" s="170"/>
      <c r="E1" s="170"/>
      <c r="F1" s="170"/>
      <c r="G1" s="170"/>
      <c r="H1" s="170"/>
      <c r="I1" s="63"/>
      <c r="J1" s="63"/>
      <c r="K1" s="63"/>
      <c r="L1" s="63"/>
    </row>
    <row r="2" spans="2:12" ht="15" thickBot="1" x14ac:dyDescent="0.4"/>
    <row r="3" spans="2:12" ht="30" thickTop="1" thickBot="1" x14ac:dyDescent="0.4">
      <c r="B3" s="74" t="s">
        <v>130</v>
      </c>
      <c r="C3" s="74" t="s">
        <v>131</v>
      </c>
      <c r="D3" s="74" t="s">
        <v>263</v>
      </c>
      <c r="E3" s="74" t="s">
        <v>264</v>
      </c>
      <c r="F3" s="74" t="s">
        <v>265</v>
      </c>
      <c r="G3" s="75" t="s">
        <v>266</v>
      </c>
      <c r="H3" s="75" t="s">
        <v>267</v>
      </c>
    </row>
    <row r="4" spans="2:12" ht="40" customHeight="1" x14ac:dyDescent="0.35">
      <c r="B4" s="69">
        <v>1</v>
      </c>
      <c r="C4" s="70" t="s">
        <v>257</v>
      </c>
      <c r="D4" s="70" t="s">
        <v>268</v>
      </c>
      <c r="E4" s="70">
        <v>12</v>
      </c>
      <c r="F4" s="127">
        <f>'Veículo - Franquia'!J53</f>
        <v>0</v>
      </c>
      <c r="G4" s="128">
        <f>E4*F4</f>
        <v>0</v>
      </c>
      <c r="H4" s="128">
        <f>ROUND(G4*3,2)</f>
        <v>0</v>
      </c>
    </row>
    <row r="5" spans="2:12" ht="40" customHeight="1" x14ac:dyDescent="0.35">
      <c r="B5" s="69">
        <v>2</v>
      </c>
      <c r="C5" s="70" t="s">
        <v>258</v>
      </c>
      <c r="D5" s="70" t="s">
        <v>269</v>
      </c>
      <c r="E5" s="70">
        <v>12000</v>
      </c>
      <c r="F5" s="127">
        <f>'Veículo - KM Excedente'!J22</f>
        <v>0</v>
      </c>
      <c r="G5" s="128">
        <f t="shared" ref="G5:G9" si="0">E5*F5</f>
        <v>0</v>
      </c>
      <c r="H5" s="128">
        <f t="shared" ref="H5:H9" si="1">ROUND(G5*3,2)</f>
        <v>0</v>
      </c>
    </row>
    <row r="6" spans="2:12" ht="40" customHeight="1" x14ac:dyDescent="0.35">
      <c r="B6" s="69">
        <v>3</v>
      </c>
      <c r="C6" s="70" t="s">
        <v>259</v>
      </c>
      <c r="D6" s="70" t="s">
        <v>270</v>
      </c>
      <c r="E6" s="70">
        <v>2</v>
      </c>
      <c r="F6" s="127">
        <f>'Motorista Executivo'!J133*12</f>
        <v>0</v>
      </c>
      <c r="G6" s="128">
        <f t="shared" si="0"/>
        <v>0</v>
      </c>
      <c r="H6" s="128">
        <f t="shared" si="1"/>
        <v>0</v>
      </c>
    </row>
    <row r="7" spans="2:12" ht="40" customHeight="1" x14ac:dyDescent="0.35">
      <c r="B7" s="69">
        <v>4</v>
      </c>
      <c r="C7" s="70" t="s">
        <v>260</v>
      </c>
      <c r="D7" s="70" t="s">
        <v>270</v>
      </c>
      <c r="E7" s="70">
        <v>24</v>
      </c>
      <c r="F7" s="127">
        <v>0</v>
      </c>
      <c r="G7" s="128">
        <f t="shared" si="0"/>
        <v>0</v>
      </c>
      <c r="H7" s="128">
        <f t="shared" si="1"/>
        <v>0</v>
      </c>
    </row>
    <row r="8" spans="2:12" ht="40" customHeight="1" x14ac:dyDescent="0.35">
      <c r="B8" s="69">
        <v>5</v>
      </c>
      <c r="C8" s="70" t="s">
        <v>261</v>
      </c>
      <c r="D8" s="70" t="s">
        <v>270</v>
      </c>
      <c r="E8" s="70">
        <v>12</v>
      </c>
      <c r="F8" s="127">
        <v>0</v>
      </c>
      <c r="G8" s="128">
        <f t="shared" si="0"/>
        <v>0</v>
      </c>
      <c r="H8" s="128">
        <f t="shared" si="1"/>
        <v>0</v>
      </c>
    </row>
    <row r="9" spans="2:12" ht="40" customHeight="1" thickBot="1" x14ac:dyDescent="0.4">
      <c r="B9" s="69">
        <v>6</v>
      </c>
      <c r="C9" s="70" t="s">
        <v>262</v>
      </c>
      <c r="D9" s="70" t="s">
        <v>270</v>
      </c>
      <c r="E9" s="70">
        <v>180</v>
      </c>
      <c r="F9" s="127">
        <f>'Motorista Executivo-Hora Extra'!J134</f>
        <v>0</v>
      </c>
      <c r="G9" s="128">
        <f t="shared" si="0"/>
        <v>0</v>
      </c>
      <c r="H9" s="128">
        <f t="shared" si="1"/>
        <v>0</v>
      </c>
    </row>
    <row r="10" spans="2:12" ht="15" thickBot="1" x14ac:dyDescent="0.4">
      <c r="B10" s="169" t="s">
        <v>239</v>
      </c>
      <c r="C10" s="169"/>
      <c r="D10" s="109"/>
      <c r="E10" s="109"/>
      <c r="F10" s="109"/>
      <c r="G10" s="153">
        <f>SUM(G4:G9)</f>
        <v>0</v>
      </c>
      <c r="H10" s="153">
        <f>SUM(H4:H9)</f>
        <v>0</v>
      </c>
    </row>
    <row r="11" spans="2:12" ht="15" thickTop="1" x14ac:dyDescent="0.35"/>
  </sheetData>
  <mergeCells count="2">
    <mergeCell ref="B10:C10"/>
    <mergeCell ref="B1:H1"/>
  </mergeCells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5CD55-0D27-41E8-AD5C-A9DD689BB84B}">
  <dimension ref="B1:R14"/>
  <sheetViews>
    <sheetView showGridLines="0" workbookViewId="0">
      <selection activeCell="N28" sqref="N28"/>
    </sheetView>
  </sheetViews>
  <sheetFormatPr defaultColWidth="8.81640625" defaultRowHeight="14.5" x14ac:dyDescent="0.35"/>
  <cols>
    <col min="1" max="1" width="8.81640625" style="49"/>
    <col min="2" max="2" width="12.81640625" style="49" customWidth="1"/>
    <col min="3" max="3" width="14.81640625" style="49" bestFit="1" customWidth="1"/>
    <col min="4" max="4" width="14.1796875" style="49" customWidth="1"/>
    <col min="5" max="5" width="11.81640625" style="49" customWidth="1"/>
    <col min="6" max="11" width="12.81640625" style="49" hidden="1" customWidth="1"/>
    <col min="12" max="12" width="12.81640625" style="49" customWidth="1"/>
    <col min="13" max="13" width="12.81640625" style="49" bestFit="1" customWidth="1"/>
    <col min="14" max="14" width="13.81640625" style="49" bestFit="1" customWidth="1"/>
    <col min="15" max="15" width="8.81640625" style="49"/>
    <col min="16" max="16" width="11.453125" style="49" bestFit="1" customWidth="1"/>
    <col min="17" max="16384" width="8.81640625" style="49"/>
  </cols>
  <sheetData>
    <row r="1" spans="2:18" ht="15" thickBot="1" x14ac:dyDescent="0.4"/>
    <row r="2" spans="2:18" ht="34.75" customHeight="1" thickTop="1" thickBot="1" x14ac:dyDescent="0.4">
      <c r="B2" s="173" t="s">
        <v>203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2:18" ht="37.4" customHeight="1" x14ac:dyDescent="0.35">
      <c r="B3" s="171" t="s">
        <v>204</v>
      </c>
      <c r="C3" s="171" t="s">
        <v>205</v>
      </c>
      <c r="D3" s="171" t="s">
        <v>206</v>
      </c>
      <c r="E3" s="171" t="s">
        <v>207</v>
      </c>
      <c r="F3" s="171" t="s">
        <v>208</v>
      </c>
      <c r="G3" s="171"/>
      <c r="H3" s="171" t="s">
        <v>209</v>
      </c>
      <c r="I3" s="171"/>
      <c r="J3" s="171" t="s">
        <v>210</v>
      </c>
      <c r="K3" s="171"/>
      <c r="L3" s="172" t="s">
        <v>211</v>
      </c>
      <c r="M3" s="172"/>
      <c r="N3" s="172"/>
    </row>
    <row r="4" spans="2:18" ht="29.5" thickBot="1" x14ac:dyDescent="0.4">
      <c r="B4" s="175"/>
      <c r="C4" s="175"/>
      <c r="D4" s="175"/>
      <c r="E4" s="175"/>
      <c r="F4" s="67" t="s">
        <v>212</v>
      </c>
      <c r="G4" s="67" t="s">
        <v>213</v>
      </c>
      <c r="H4" s="67" t="s">
        <v>212</v>
      </c>
      <c r="I4" s="67" t="s">
        <v>214</v>
      </c>
      <c r="J4" s="67" t="s">
        <v>212</v>
      </c>
      <c r="K4" s="67" t="s">
        <v>214</v>
      </c>
      <c r="L4" s="68" t="s">
        <v>212</v>
      </c>
      <c r="M4" s="68" t="s">
        <v>214</v>
      </c>
      <c r="N4" s="68" t="s">
        <v>215</v>
      </c>
    </row>
    <row r="5" spans="2:18" x14ac:dyDescent="0.35">
      <c r="B5" s="49" t="s">
        <v>216</v>
      </c>
      <c r="C5" s="49" t="s">
        <v>217</v>
      </c>
      <c r="D5" s="64">
        <v>9000</v>
      </c>
      <c r="E5" s="49">
        <v>2</v>
      </c>
      <c r="F5" s="65">
        <v>100</v>
      </c>
      <c r="G5" s="65">
        <f>F5*E5</f>
        <v>200</v>
      </c>
      <c r="H5" s="65">
        <v>83.3</v>
      </c>
      <c r="I5" s="65">
        <f>H5*E5</f>
        <v>166.6</v>
      </c>
      <c r="J5" s="65">
        <v>90</v>
      </c>
      <c r="K5" s="65">
        <f>J5*E5</f>
        <v>180</v>
      </c>
      <c r="L5" s="66">
        <f>AVERAGE(F5,H5,J5)</f>
        <v>91.100000000000009</v>
      </c>
      <c r="M5" s="66">
        <f>E5*L5</f>
        <v>182.20000000000002</v>
      </c>
      <c r="N5" s="66">
        <f>M5*20</f>
        <v>3644.0000000000005</v>
      </c>
      <c r="O5" s="62"/>
      <c r="Q5" s="62"/>
      <c r="R5" s="62"/>
    </row>
    <row r="6" spans="2:18" x14ac:dyDescent="0.35">
      <c r="B6" s="49" t="s">
        <v>218</v>
      </c>
      <c r="C6" s="49" t="s">
        <v>219</v>
      </c>
      <c r="D6" s="64">
        <v>12000</v>
      </c>
      <c r="E6" s="49">
        <v>1</v>
      </c>
      <c r="F6" s="65">
        <v>100</v>
      </c>
      <c r="G6" s="65">
        <f t="shared" ref="G6:G12" si="0">F6*E6</f>
        <v>100</v>
      </c>
      <c r="H6" s="65">
        <v>83.3</v>
      </c>
      <c r="I6" s="65">
        <f t="shared" ref="I6:I12" si="1">H6*E6</f>
        <v>83.3</v>
      </c>
      <c r="J6" s="65">
        <v>90</v>
      </c>
      <c r="K6" s="65">
        <f t="shared" ref="K6:K12" si="2">J6*E6</f>
        <v>90</v>
      </c>
      <c r="L6" s="66">
        <f t="shared" ref="L6:L12" si="3">AVERAGE(F6,H6,J6)</f>
        <v>91.100000000000009</v>
      </c>
      <c r="M6" s="66">
        <f t="shared" ref="M6:M12" si="4">E6*L6</f>
        <v>91.100000000000009</v>
      </c>
      <c r="N6" s="66">
        <f t="shared" ref="N6:N12" si="5">M6*20</f>
        <v>1822.0000000000002</v>
      </c>
      <c r="O6" s="62"/>
      <c r="Q6" s="62"/>
      <c r="R6" s="62"/>
    </row>
    <row r="7" spans="2:18" x14ac:dyDescent="0.35">
      <c r="B7" s="49" t="s">
        <v>220</v>
      </c>
      <c r="C7" s="49" t="s">
        <v>221</v>
      </c>
      <c r="D7" s="64">
        <v>12000</v>
      </c>
      <c r="E7" s="49">
        <v>3</v>
      </c>
      <c r="F7" s="65">
        <v>100</v>
      </c>
      <c r="G7" s="65">
        <f t="shared" si="0"/>
        <v>300</v>
      </c>
      <c r="H7" s="65">
        <v>83.3</v>
      </c>
      <c r="I7" s="65">
        <f t="shared" si="1"/>
        <v>249.89999999999998</v>
      </c>
      <c r="J7" s="65">
        <v>90</v>
      </c>
      <c r="K7" s="65">
        <f t="shared" si="2"/>
        <v>270</v>
      </c>
      <c r="L7" s="66">
        <f t="shared" si="3"/>
        <v>91.100000000000009</v>
      </c>
      <c r="M7" s="66">
        <f t="shared" si="4"/>
        <v>273.3</v>
      </c>
      <c r="N7" s="66">
        <f t="shared" si="5"/>
        <v>5466</v>
      </c>
      <c r="O7" s="62"/>
      <c r="Q7" s="62"/>
      <c r="R7" s="62"/>
    </row>
    <row r="8" spans="2:18" x14ac:dyDescent="0.35">
      <c r="B8" s="49" t="s">
        <v>216</v>
      </c>
      <c r="C8" s="49" t="s">
        <v>222</v>
      </c>
      <c r="D8" s="64">
        <v>18000</v>
      </c>
      <c r="E8" s="49">
        <v>4</v>
      </c>
      <c r="F8" s="65">
        <v>150</v>
      </c>
      <c r="G8" s="65">
        <f t="shared" si="0"/>
        <v>600</v>
      </c>
      <c r="H8" s="65">
        <v>83.3</v>
      </c>
      <c r="I8" s="65">
        <f t="shared" si="1"/>
        <v>333.2</v>
      </c>
      <c r="J8" s="65">
        <v>90</v>
      </c>
      <c r="K8" s="65">
        <f t="shared" si="2"/>
        <v>360</v>
      </c>
      <c r="L8" s="66">
        <f t="shared" si="3"/>
        <v>107.76666666666667</v>
      </c>
      <c r="M8" s="66">
        <f t="shared" si="4"/>
        <v>431.06666666666666</v>
      </c>
      <c r="N8" s="66">
        <f t="shared" si="5"/>
        <v>8621.3333333333339</v>
      </c>
      <c r="O8" s="62"/>
      <c r="Q8" s="62"/>
      <c r="R8" s="62"/>
    </row>
    <row r="9" spans="2:18" x14ac:dyDescent="0.35">
      <c r="B9" s="49" t="s">
        <v>223</v>
      </c>
      <c r="C9" s="49" t="s">
        <v>224</v>
      </c>
      <c r="D9" s="64">
        <v>22000</v>
      </c>
      <c r="E9" s="49">
        <v>9</v>
      </c>
      <c r="F9" s="65">
        <v>150</v>
      </c>
      <c r="G9" s="65">
        <f t="shared" si="0"/>
        <v>1350</v>
      </c>
      <c r="H9" s="65">
        <v>83.3</v>
      </c>
      <c r="I9" s="65">
        <f t="shared" si="1"/>
        <v>749.69999999999993</v>
      </c>
      <c r="J9" s="65">
        <v>90</v>
      </c>
      <c r="K9" s="65">
        <f t="shared" si="2"/>
        <v>810</v>
      </c>
      <c r="L9" s="66">
        <f t="shared" si="3"/>
        <v>107.76666666666667</v>
      </c>
      <c r="M9" s="66">
        <f t="shared" si="4"/>
        <v>969.9</v>
      </c>
      <c r="N9" s="66">
        <f t="shared" si="5"/>
        <v>19398</v>
      </c>
      <c r="O9" s="62"/>
      <c r="Q9" s="62"/>
      <c r="R9" s="62"/>
    </row>
    <row r="10" spans="2:18" x14ac:dyDescent="0.35">
      <c r="B10" s="49" t="s">
        <v>218</v>
      </c>
      <c r="C10" s="49" t="s">
        <v>225</v>
      </c>
      <c r="D10" s="64">
        <v>27000</v>
      </c>
      <c r="E10" s="49">
        <v>9</v>
      </c>
      <c r="F10" s="65">
        <v>150</v>
      </c>
      <c r="G10" s="65">
        <f t="shared" si="0"/>
        <v>1350</v>
      </c>
      <c r="H10" s="65">
        <v>83.3</v>
      </c>
      <c r="I10" s="65">
        <f t="shared" si="1"/>
        <v>749.69999999999993</v>
      </c>
      <c r="J10" s="65">
        <v>90</v>
      </c>
      <c r="K10" s="65">
        <f t="shared" si="2"/>
        <v>810</v>
      </c>
      <c r="L10" s="66">
        <f t="shared" si="3"/>
        <v>107.76666666666667</v>
      </c>
      <c r="M10" s="66">
        <f t="shared" si="4"/>
        <v>969.9</v>
      </c>
      <c r="N10" s="66">
        <f t="shared" si="5"/>
        <v>19398</v>
      </c>
      <c r="O10" s="62"/>
      <c r="Q10" s="62"/>
      <c r="R10" s="62"/>
    </row>
    <row r="11" spans="2:18" x14ac:dyDescent="0.35">
      <c r="B11" s="49" t="s">
        <v>218</v>
      </c>
      <c r="C11" s="49" t="s">
        <v>226</v>
      </c>
      <c r="D11" s="64">
        <v>45000</v>
      </c>
      <c r="E11" s="49">
        <v>3</v>
      </c>
      <c r="F11" s="65">
        <v>200</v>
      </c>
      <c r="G11" s="65">
        <f t="shared" si="0"/>
        <v>600</v>
      </c>
      <c r="H11" s="65">
        <v>114.49</v>
      </c>
      <c r="I11" s="65">
        <f t="shared" si="1"/>
        <v>343.46999999999997</v>
      </c>
      <c r="J11" s="65">
        <v>90</v>
      </c>
      <c r="K11" s="65">
        <f t="shared" si="2"/>
        <v>270</v>
      </c>
      <c r="L11" s="66">
        <f t="shared" si="3"/>
        <v>134.83000000000001</v>
      </c>
      <c r="M11" s="66">
        <f t="shared" si="4"/>
        <v>404.49</v>
      </c>
      <c r="N11" s="66">
        <f t="shared" si="5"/>
        <v>8089.8</v>
      </c>
      <c r="O11" s="62"/>
      <c r="Q11" s="62"/>
      <c r="R11" s="62"/>
    </row>
    <row r="12" spans="2:18" ht="15" thickBot="1" x14ac:dyDescent="0.4">
      <c r="B12" s="49" t="s">
        <v>227</v>
      </c>
      <c r="C12" s="49" t="s">
        <v>228</v>
      </c>
      <c r="D12" s="64">
        <v>52000</v>
      </c>
      <c r="E12" s="49">
        <v>21</v>
      </c>
      <c r="F12" s="65">
        <v>250</v>
      </c>
      <c r="G12" s="65">
        <f t="shared" si="0"/>
        <v>5250</v>
      </c>
      <c r="H12" s="65">
        <v>114.49</v>
      </c>
      <c r="I12" s="65">
        <f t="shared" si="1"/>
        <v>2404.29</v>
      </c>
      <c r="J12" s="65">
        <v>90</v>
      </c>
      <c r="K12" s="65">
        <f t="shared" si="2"/>
        <v>1890</v>
      </c>
      <c r="L12" s="66">
        <f t="shared" si="3"/>
        <v>151.49666666666667</v>
      </c>
      <c r="M12" s="66">
        <f t="shared" si="4"/>
        <v>3181.4300000000003</v>
      </c>
      <c r="N12" s="66">
        <f t="shared" si="5"/>
        <v>63628.600000000006</v>
      </c>
      <c r="O12" s="62"/>
      <c r="Q12" s="62"/>
      <c r="R12" s="62"/>
    </row>
    <row r="13" spans="2:18" ht="15" thickBot="1" x14ac:dyDescent="0.4">
      <c r="B13" s="174" t="s">
        <v>229</v>
      </c>
      <c r="C13" s="174"/>
      <c r="D13" s="174"/>
      <c r="E13" s="71">
        <f>SUM(E5:E12)</f>
        <v>52</v>
      </c>
      <c r="F13" s="72"/>
      <c r="G13" s="72">
        <f t="shared" ref="G13" si="6">SUM(G5:G12)</f>
        <v>9750</v>
      </c>
      <c r="H13" s="72"/>
      <c r="I13" s="72">
        <f>SUM(I5:I12)</f>
        <v>5080.16</v>
      </c>
      <c r="J13" s="72"/>
      <c r="K13" s="72">
        <f t="shared" ref="K13" si="7">SUM(K5:K12)</f>
        <v>4680</v>
      </c>
      <c r="L13" s="73"/>
      <c r="M13" s="73">
        <f>SUM(M5:M12)</f>
        <v>6503.3866666666672</v>
      </c>
      <c r="N13" s="73">
        <f>SUM(N5:N12)</f>
        <v>130067.73333333334</v>
      </c>
    </row>
    <row r="14" spans="2:18" ht="15" thickTop="1" x14ac:dyDescent="0.35"/>
  </sheetData>
  <mergeCells count="10">
    <mergeCell ref="B13:D13"/>
    <mergeCell ref="B3:B4"/>
    <mergeCell ref="C3:C4"/>
    <mergeCell ref="D3:D4"/>
    <mergeCell ref="E3:E4"/>
    <mergeCell ref="J3:K3"/>
    <mergeCell ref="L3:N3"/>
    <mergeCell ref="B2:N2"/>
    <mergeCell ref="H3:I3"/>
    <mergeCell ref="F3:G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01D80-093F-4858-8CB9-F4D958B5F9D2}">
  <sheetPr>
    <pageSetUpPr fitToPage="1"/>
  </sheetPr>
  <dimension ref="B1:M139"/>
  <sheetViews>
    <sheetView showGridLines="0" topLeftCell="A118" zoomScale="80" zoomScaleNormal="80" workbookViewId="0">
      <selection activeCell="J100" sqref="J100"/>
    </sheetView>
  </sheetViews>
  <sheetFormatPr defaultColWidth="8.81640625" defaultRowHeight="14.5" x14ac:dyDescent="0.35"/>
  <cols>
    <col min="1" max="1" width="3.453125" customWidth="1"/>
    <col min="2" max="2" width="10.453125" customWidth="1"/>
    <col min="3" max="3" width="49.54296875" bestFit="1" customWidth="1"/>
    <col min="8" max="8" width="9" bestFit="1" customWidth="1"/>
    <col min="9" max="9" width="12.26953125" bestFit="1" customWidth="1"/>
    <col min="10" max="10" width="25.453125" customWidth="1"/>
    <col min="11" max="11" width="11.81640625" bestFit="1" customWidth="1"/>
    <col min="12" max="12" width="25.81640625" style="13" customWidth="1"/>
    <col min="13" max="13" width="63.453125" style="13" customWidth="1"/>
  </cols>
  <sheetData>
    <row r="1" spans="2:10" x14ac:dyDescent="0.35">
      <c r="B1" s="212"/>
      <c r="C1" s="212"/>
      <c r="D1" s="212"/>
      <c r="E1" s="212"/>
      <c r="F1" s="212"/>
      <c r="G1" s="212"/>
      <c r="H1" s="212"/>
      <c r="I1" s="212"/>
      <c r="J1" s="212"/>
    </row>
    <row r="2" spans="2:10" x14ac:dyDescent="0.35">
      <c r="B2" s="213" t="s">
        <v>132</v>
      </c>
      <c r="C2" s="213"/>
      <c r="D2" s="213"/>
      <c r="E2" s="213"/>
      <c r="F2" s="213"/>
      <c r="G2" s="213"/>
      <c r="H2" s="213"/>
      <c r="I2" s="213"/>
      <c r="J2" s="213"/>
    </row>
    <row r="3" spans="2:10" x14ac:dyDescent="0.35">
      <c r="B3" s="213" t="s">
        <v>133</v>
      </c>
      <c r="C3" s="213"/>
      <c r="D3" s="213"/>
      <c r="E3" s="213"/>
      <c r="F3" s="213"/>
      <c r="G3" s="213"/>
      <c r="H3" s="213"/>
      <c r="I3" s="213"/>
      <c r="J3" s="213"/>
    </row>
    <row r="4" spans="2:10" x14ac:dyDescent="0.35">
      <c r="B4" s="214" t="s">
        <v>291</v>
      </c>
      <c r="C4" s="214"/>
      <c r="D4" s="214"/>
      <c r="E4" s="214"/>
      <c r="F4" s="214"/>
      <c r="G4" s="214"/>
      <c r="H4" s="214"/>
      <c r="I4" s="214"/>
      <c r="J4" s="214"/>
    </row>
    <row r="5" spans="2:10" x14ac:dyDescent="0.35">
      <c r="B5" s="208"/>
      <c r="C5" s="208"/>
      <c r="D5" s="208"/>
      <c r="E5" s="208"/>
      <c r="F5" s="208"/>
      <c r="G5" s="208"/>
      <c r="H5" s="208"/>
      <c r="I5" s="208"/>
      <c r="J5" s="208"/>
    </row>
    <row r="6" spans="2:10" x14ac:dyDescent="0.35">
      <c r="B6" s="215" t="str">
        <f>"Categoria profissional: "&amp;I22</f>
        <v>Categoria profissional: Motorista de Veículo Executivo</v>
      </c>
      <c r="C6" s="215"/>
      <c r="D6" s="215"/>
      <c r="E6" s="215"/>
      <c r="F6" s="215"/>
      <c r="G6" s="215"/>
      <c r="H6" s="215"/>
      <c r="I6" s="215"/>
      <c r="J6" s="215"/>
    </row>
    <row r="7" spans="2:10" x14ac:dyDescent="0.35">
      <c r="B7" s="211"/>
      <c r="C7" s="211"/>
      <c r="D7" s="211"/>
      <c r="E7" s="211"/>
      <c r="F7" s="211"/>
      <c r="G7" s="211"/>
      <c r="H7" s="211"/>
      <c r="I7" s="211"/>
      <c r="J7" s="211"/>
    </row>
    <row r="8" spans="2:10" x14ac:dyDescent="0.35">
      <c r="B8" s="180" t="s">
        <v>134</v>
      </c>
      <c r="C8" s="180"/>
      <c r="D8" s="180"/>
      <c r="E8" s="180"/>
      <c r="F8" s="180"/>
      <c r="G8" s="180"/>
      <c r="H8" s="180"/>
      <c r="I8" s="180"/>
      <c r="J8" s="180"/>
    </row>
    <row r="9" spans="2:10" x14ac:dyDescent="0.35">
      <c r="B9" s="84" t="s">
        <v>135</v>
      </c>
      <c r="C9" s="176" t="s">
        <v>136</v>
      </c>
      <c r="D9" s="176"/>
      <c r="E9" s="176"/>
      <c r="F9" s="176"/>
      <c r="G9" s="176"/>
      <c r="H9" s="176"/>
      <c r="I9" s="206"/>
      <c r="J9" s="207"/>
    </row>
    <row r="10" spans="2:10" x14ac:dyDescent="0.35">
      <c r="B10" s="84" t="s">
        <v>137</v>
      </c>
      <c r="C10" s="176" t="s">
        <v>138</v>
      </c>
      <c r="D10" s="176"/>
      <c r="E10" s="176"/>
      <c r="F10" s="176"/>
      <c r="G10" s="176"/>
      <c r="H10" s="176"/>
      <c r="I10" s="207" t="s">
        <v>249</v>
      </c>
      <c r="J10" s="207"/>
    </row>
    <row r="11" spans="2:10" ht="44.5" customHeight="1" x14ac:dyDescent="0.35">
      <c r="B11" s="84" t="s">
        <v>139</v>
      </c>
      <c r="C11" s="176" t="s">
        <v>140</v>
      </c>
      <c r="D11" s="176"/>
      <c r="E11" s="176"/>
      <c r="F11" s="176"/>
      <c r="G11" s="176"/>
      <c r="H11" s="176"/>
      <c r="I11" s="210" t="s">
        <v>250</v>
      </c>
      <c r="J11" s="207"/>
    </row>
    <row r="12" spans="2:10" x14ac:dyDescent="0.35">
      <c r="B12" s="84" t="s">
        <v>141</v>
      </c>
      <c r="C12" s="176" t="s">
        <v>142</v>
      </c>
      <c r="D12" s="176"/>
      <c r="E12" s="176"/>
      <c r="F12" s="176"/>
      <c r="G12" s="176"/>
      <c r="H12" s="176"/>
      <c r="I12" s="207">
        <v>36</v>
      </c>
      <c r="J12" s="207"/>
    </row>
    <row r="13" spans="2:10" x14ac:dyDescent="0.35">
      <c r="B13" s="61"/>
      <c r="C13" s="59"/>
      <c r="D13" s="59"/>
      <c r="E13" s="59"/>
      <c r="F13" s="59"/>
      <c r="G13" s="59"/>
      <c r="H13" s="59"/>
      <c r="I13" s="61"/>
      <c r="J13" s="61"/>
    </row>
    <row r="14" spans="2:10" x14ac:dyDescent="0.35">
      <c r="B14" s="180" t="s">
        <v>143</v>
      </c>
      <c r="C14" s="180"/>
      <c r="D14" s="180"/>
      <c r="E14" s="180"/>
      <c r="F14" s="180"/>
      <c r="G14" s="180"/>
      <c r="H14" s="180"/>
      <c r="I14" s="180"/>
      <c r="J14" s="180"/>
    </row>
    <row r="15" spans="2:10" x14ac:dyDescent="0.35">
      <c r="B15" s="207" t="s">
        <v>144</v>
      </c>
      <c r="C15" s="207"/>
      <c r="D15" s="207" t="s">
        <v>145</v>
      </c>
      <c r="E15" s="207"/>
      <c r="F15" s="207" t="s">
        <v>146</v>
      </c>
      <c r="G15" s="207"/>
      <c r="H15" s="207"/>
      <c r="I15" s="207"/>
      <c r="J15" s="207"/>
    </row>
    <row r="16" spans="2:10" x14ac:dyDescent="0.35">
      <c r="B16" s="207" t="str">
        <f>I22</f>
        <v>Motorista de Veículo Executivo</v>
      </c>
      <c r="C16" s="207"/>
      <c r="D16" s="207" t="s">
        <v>147</v>
      </c>
      <c r="E16" s="207"/>
      <c r="F16" s="207">
        <v>2</v>
      </c>
      <c r="G16" s="207"/>
      <c r="H16" s="207"/>
      <c r="I16" s="207"/>
      <c r="J16" s="207"/>
    </row>
    <row r="17" spans="2:13" x14ac:dyDescent="0.35">
      <c r="B17" s="61"/>
      <c r="C17" s="59"/>
      <c r="D17" s="59"/>
      <c r="E17" s="59"/>
      <c r="F17" s="59"/>
      <c r="G17" s="59"/>
      <c r="H17" s="59"/>
      <c r="I17" s="61"/>
      <c r="J17" s="61"/>
    </row>
    <row r="18" spans="2:13" x14ac:dyDescent="0.35">
      <c r="B18" s="180" t="s">
        <v>148</v>
      </c>
      <c r="C18" s="180"/>
      <c r="D18" s="180"/>
      <c r="E18" s="180"/>
      <c r="F18" s="180"/>
      <c r="G18" s="180"/>
      <c r="H18" s="180"/>
      <c r="I18" s="180"/>
      <c r="J18" s="180"/>
    </row>
    <row r="19" spans="2:13" x14ac:dyDescent="0.35">
      <c r="B19" s="84">
        <v>1</v>
      </c>
      <c r="C19" s="176" t="s">
        <v>149</v>
      </c>
      <c r="D19" s="176"/>
      <c r="E19" s="176"/>
      <c r="F19" s="176"/>
      <c r="G19" s="176"/>
      <c r="H19" s="176"/>
      <c r="I19" s="207" t="s">
        <v>251</v>
      </c>
      <c r="J19" s="207"/>
    </row>
    <row r="20" spans="2:13" x14ac:dyDescent="0.35">
      <c r="B20" s="84">
        <v>2</v>
      </c>
      <c r="C20" s="176" t="s">
        <v>150</v>
      </c>
      <c r="D20" s="176"/>
      <c r="E20" s="176"/>
      <c r="F20" s="176"/>
      <c r="G20" s="176"/>
      <c r="H20" s="176"/>
      <c r="I20" s="207" t="s">
        <v>252</v>
      </c>
      <c r="J20" s="207"/>
    </row>
    <row r="21" spans="2:13" x14ac:dyDescent="0.35">
      <c r="B21" s="84">
        <v>3</v>
      </c>
      <c r="C21" s="176" t="s">
        <v>151</v>
      </c>
      <c r="D21" s="176"/>
      <c r="E21" s="176"/>
      <c r="F21" s="176"/>
      <c r="G21" s="176"/>
      <c r="H21" s="176"/>
      <c r="I21" s="209">
        <v>0</v>
      </c>
      <c r="J21" s="207"/>
    </row>
    <row r="22" spans="2:13" x14ac:dyDescent="0.35">
      <c r="B22" s="84">
        <v>4</v>
      </c>
      <c r="C22" s="176" t="s">
        <v>152</v>
      </c>
      <c r="D22" s="176"/>
      <c r="E22" s="176"/>
      <c r="F22" s="176"/>
      <c r="G22" s="176"/>
      <c r="H22" s="176"/>
      <c r="I22" s="177" t="s">
        <v>253</v>
      </c>
      <c r="J22" s="177"/>
    </row>
    <row r="23" spans="2:13" x14ac:dyDescent="0.35">
      <c r="B23" s="84">
        <v>5</v>
      </c>
      <c r="C23" s="176" t="s">
        <v>153</v>
      </c>
      <c r="D23" s="176"/>
      <c r="E23" s="176"/>
      <c r="F23" s="176"/>
      <c r="G23" s="176"/>
      <c r="H23" s="176"/>
      <c r="I23" s="206">
        <v>45658</v>
      </c>
      <c r="J23" s="207"/>
    </row>
    <row r="24" spans="2:13" x14ac:dyDescent="0.35">
      <c r="B24" s="208"/>
      <c r="C24" s="208"/>
      <c r="D24" s="208"/>
      <c r="E24" s="208"/>
      <c r="F24" s="208"/>
      <c r="G24" s="208"/>
      <c r="H24" s="208"/>
      <c r="I24" s="208"/>
      <c r="J24" s="208"/>
    </row>
    <row r="25" spans="2:13" x14ac:dyDescent="0.35">
      <c r="B25" s="188" t="s">
        <v>154</v>
      </c>
      <c r="C25" s="188"/>
      <c r="D25" s="188"/>
      <c r="E25" s="188"/>
      <c r="F25" s="188"/>
      <c r="G25" s="188"/>
      <c r="H25" s="188"/>
      <c r="I25" s="188"/>
      <c r="J25" s="188"/>
    </row>
    <row r="26" spans="2:13" x14ac:dyDescent="0.35">
      <c r="B26" s="85">
        <v>1</v>
      </c>
      <c r="C26" s="177" t="s">
        <v>292</v>
      </c>
      <c r="D26" s="177"/>
      <c r="E26" s="177"/>
      <c r="F26" s="177"/>
      <c r="G26" s="177"/>
      <c r="H26" s="177"/>
      <c r="I26" s="85" t="s">
        <v>155</v>
      </c>
      <c r="J26" s="85" t="s">
        <v>156</v>
      </c>
      <c r="L26" s="76" t="s">
        <v>157</v>
      </c>
      <c r="M26" s="76" t="s">
        <v>158</v>
      </c>
    </row>
    <row r="27" spans="2:13" x14ac:dyDescent="0.35">
      <c r="B27" s="85" t="s">
        <v>135</v>
      </c>
      <c r="C27" s="176" t="s">
        <v>159</v>
      </c>
      <c r="D27" s="176"/>
      <c r="E27" s="176"/>
      <c r="F27" s="176"/>
      <c r="G27" s="176"/>
      <c r="H27" s="176"/>
      <c r="I27" s="86"/>
      <c r="J27" s="129">
        <f>I21</f>
        <v>0</v>
      </c>
      <c r="L27" s="87"/>
      <c r="M27" s="88" t="s">
        <v>293</v>
      </c>
    </row>
    <row r="28" spans="2:13" x14ac:dyDescent="0.35">
      <c r="B28" s="85" t="s">
        <v>137</v>
      </c>
      <c r="C28" s="176" t="s">
        <v>160</v>
      </c>
      <c r="D28" s="176"/>
      <c r="E28" s="176"/>
      <c r="F28" s="176"/>
      <c r="G28" s="176"/>
      <c r="H28" s="176"/>
      <c r="I28" s="89"/>
      <c r="J28" s="129">
        <f>TRUNC($J$27*I28,2)</f>
        <v>0</v>
      </c>
      <c r="L28" s="87"/>
      <c r="M28" s="88" t="s">
        <v>294</v>
      </c>
    </row>
    <row r="29" spans="2:13" x14ac:dyDescent="0.35">
      <c r="B29" s="85" t="s">
        <v>139</v>
      </c>
      <c r="C29" s="176" t="s">
        <v>161</v>
      </c>
      <c r="D29" s="176"/>
      <c r="E29" s="176"/>
      <c r="F29" s="176"/>
      <c r="G29" s="176"/>
      <c r="H29" s="176"/>
      <c r="I29" s="89"/>
      <c r="J29" s="129">
        <f>TRUNC($J$27*I29,2)</f>
        <v>0</v>
      </c>
    </row>
    <row r="30" spans="2:13" x14ac:dyDescent="0.35">
      <c r="B30" s="85" t="s">
        <v>141</v>
      </c>
      <c r="C30" s="176" t="s">
        <v>162</v>
      </c>
      <c r="D30" s="176"/>
      <c r="E30" s="176"/>
      <c r="F30" s="176"/>
      <c r="G30" s="176"/>
      <c r="H30" s="176"/>
      <c r="I30" s="89"/>
      <c r="J30" s="129">
        <f>TRUNC($J$27*I30,2)</f>
        <v>0</v>
      </c>
      <c r="K30" s="13"/>
    </row>
    <row r="31" spans="2:13" x14ac:dyDescent="0.35">
      <c r="B31" s="85" t="s">
        <v>163</v>
      </c>
      <c r="C31" s="176" t="s">
        <v>164</v>
      </c>
      <c r="D31" s="176"/>
      <c r="E31" s="176"/>
      <c r="F31" s="176"/>
      <c r="G31" s="176"/>
      <c r="H31" s="176"/>
      <c r="I31" s="89"/>
      <c r="J31" s="129">
        <f>TRUNC($J$27*I31,2)</f>
        <v>0</v>
      </c>
    </row>
    <row r="32" spans="2:13" x14ac:dyDescent="0.35">
      <c r="B32" s="85" t="s">
        <v>165</v>
      </c>
      <c r="C32" s="176" t="s">
        <v>166</v>
      </c>
      <c r="D32" s="176"/>
      <c r="E32" s="176"/>
      <c r="F32" s="176"/>
      <c r="G32" s="176"/>
      <c r="H32" s="176"/>
      <c r="I32" s="89"/>
      <c r="J32" s="129">
        <f>TRUNC($J$27*I32,2)</f>
        <v>0</v>
      </c>
    </row>
    <row r="33" spans="2:13" x14ac:dyDescent="0.35">
      <c r="B33" s="177" t="s">
        <v>167</v>
      </c>
      <c r="C33" s="177"/>
      <c r="D33" s="177"/>
      <c r="E33" s="177"/>
      <c r="F33" s="177"/>
      <c r="G33" s="177"/>
      <c r="H33" s="177"/>
      <c r="I33" s="177"/>
      <c r="J33" s="130">
        <f>SUM(J27:J32)</f>
        <v>0</v>
      </c>
    </row>
    <row r="34" spans="2:13" x14ac:dyDescent="0.35">
      <c r="B34" s="110"/>
      <c r="C34" s="110"/>
      <c r="D34" s="110"/>
      <c r="E34" s="110"/>
      <c r="F34" s="110"/>
      <c r="G34" s="110"/>
      <c r="H34" s="110"/>
      <c r="I34" s="110"/>
      <c r="J34" s="131"/>
    </row>
    <row r="35" spans="2:13" x14ac:dyDescent="0.35">
      <c r="B35" s="188" t="s">
        <v>295</v>
      </c>
      <c r="C35" s="188"/>
      <c r="D35" s="188"/>
      <c r="E35" s="188"/>
      <c r="F35" s="188"/>
      <c r="G35" s="188"/>
      <c r="H35" s="188"/>
      <c r="I35" s="188"/>
      <c r="J35" s="188"/>
    </row>
    <row r="36" spans="2:13" x14ac:dyDescent="0.35">
      <c r="B36" s="203" t="s">
        <v>296</v>
      </c>
      <c r="C36" s="203"/>
      <c r="D36" s="203"/>
      <c r="E36" s="203"/>
      <c r="F36" s="203"/>
      <c r="G36" s="203"/>
      <c r="H36" s="203"/>
      <c r="I36" s="132" t="s">
        <v>155</v>
      </c>
      <c r="J36" s="132" t="s">
        <v>156</v>
      </c>
      <c r="L36" s="76" t="s">
        <v>157</v>
      </c>
      <c r="M36" s="76" t="s">
        <v>158</v>
      </c>
    </row>
    <row r="37" spans="2:13" ht="25.5" customHeight="1" x14ac:dyDescent="0.35">
      <c r="B37" s="85" t="s">
        <v>135</v>
      </c>
      <c r="C37" s="176" t="s">
        <v>297</v>
      </c>
      <c r="D37" s="176"/>
      <c r="E37" s="176"/>
      <c r="F37" s="176"/>
      <c r="G37" s="176"/>
      <c r="H37" s="176"/>
      <c r="I37" s="90">
        <v>8.3299999999999999E-2</v>
      </c>
      <c r="J37" s="129">
        <f>TRUNC($J$33*I37,2)</f>
        <v>0</v>
      </c>
      <c r="K37" s="11"/>
      <c r="L37" s="87"/>
      <c r="M37" s="133" t="s">
        <v>298</v>
      </c>
    </row>
    <row r="38" spans="2:13" ht="25.5" customHeight="1" x14ac:dyDescent="0.35">
      <c r="B38" s="85" t="s">
        <v>137</v>
      </c>
      <c r="C38" s="176" t="s">
        <v>299</v>
      </c>
      <c r="D38" s="176"/>
      <c r="E38" s="176"/>
      <c r="F38" s="176"/>
      <c r="G38" s="176"/>
      <c r="H38" s="176"/>
      <c r="I38" s="91">
        <v>0.121</v>
      </c>
      <c r="J38" s="129">
        <f>TRUNC($J$33*I38,2)</f>
        <v>0</v>
      </c>
      <c r="K38" s="11"/>
      <c r="L38" s="134" t="s">
        <v>300</v>
      </c>
      <c r="M38" s="133" t="s">
        <v>301</v>
      </c>
    </row>
    <row r="39" spans="2:13" x14ac:dyDescent="0.35">
      <c r="B39" s="177" t="s">
        <v>302</v>
      </c>
      <c r="C39" s="177"/>
      <c r="D39" s="177"/>
      <c r="E39" s="177"/>
      <c r="F39" s="177"/>
      <c r="G39" s="177"/>
      <c r="H39" s="177"/>
      <c r="I39" s="92">
        <f>SUM(I37:I38)</f>
        <v>0.20429999999999998</v>
      </c>
      <c r="J39" s="130">
        <f>SUM(J37:J38)</f>
        <v>0</v>
      </c>
      <c r="K39" s="12"/>
    </row>
    <row r="40" spans="2:13" x14ac:dyDescent="0.35">
      <c r="B40" s="204"/>
      <c r="C40" s="205"/>
      <c r="D40" s="205"/>
      <c r="E40" s="205"/>
      <c r="F40" s="205"/>
      <c r="G40" s="205"/>
      <c r="H40" s="205"/>
      <c r="I40" s="205"/>
      <c r="J40" s="205"/>
    </row>
    <row r="41" spans="2:13" x14ac:dyDescent="0.35">
      <c r="B41" s="203" t="s">
        <v>303</v>
      </c>
      <c r="C41" s="203"/>
      <c r="D41" s="203"/>
      <c r="E41" s="203"/>
      <c r="F41" s="203"/>
      <c r="G41" s="203"/>
      <c r="H41" s="203"/>
      <c r="I41" s="132" t="s">
        <v>155</v>
      </c>
      <c r="J41" s="132" t="s">
        <v>156</v>
      </c>
      <c r="L41" s="76" t="s">
        <v>157</v>
      </c>
      <c r="M41" s="76" t="s">
        <v>158</v>
      </c>
    </row>
    <row r="42" spans="2:13" x14ac:dyDescent="0.35">
      <c r="B42" s="85" t="s">
        <v>135</v>
      </c>
      <c r="C42" s="176" t="s">
        <v>304</v>
      </c>
      <c r="D42" s="176"/>
      <c r="E42" s="176"/>
      <c r="F42" s="176"/>
      <c r="G42" s="176"/>
      <c r="H42" s="176"/>
      <c r="I42" s="90">
        <v>0.2</v>
      </c>
      <c r="J42" s="129">
        <f>TRUNC(($J$33+$J$39)*$I$42,2)</f>
        <v>0</v>
      </c>
      <c r="L42" s="87"/>
      <c r="M42" s="135" t="s">
        <v>305</v>
      </c>
    </row>
    <row r="43" spans="2:13" x14ac:dyDescent="0.35">
      <c r="B43" s="85" t="s">
        <v>137</v>
      </c>
      <c r="C43" s="176" t="s">
        <v>306</v>
      </c>
      <c r="D43" s="176"/>
      <c r="E43" s="176"/>
      <c r="F43" s="176"/>
      <c r="G43" s="176"/>
      <c r="H43" s="176"/>
      <c r="I43" s="90">
        <v>2.5000000000000001E-2</v>
      </c>
      <c r="J43" s="129">
        <f>TRUNC(($J$33+$J$39)*$I$43,2)</f>
        <v>0</v>
      </c>
      <c r="L43" s="87"/>
      <c r="M43" s="135" t="s">
        <v>307</v>
      </c>
    </row>
    <row r="44" spans="2:13" x14ac:dyDescent="0.35">
      <c r="B44" s="85" t="s">
        <v>139</v>
      </c>
      <c r="C44" s="176" t="s">
        <v>308</v>
      </c>
      <c r="D44" s="176"/>
      <c r="E44" s="176"/>
      <c r="F44" s="176"/>
      <c r="G44" s="176"/>
      <c r="H44" s="176"/>
      <c r="I44" s="90">
        <v>0.03</v>
      </c>
      <c r="J44" s="129">
        <f>TRUNC(($J$33+$J$39)*$I$44,2)</f>
        <v>0</v>
      </c>
      <c r="L44" s="134" t="s">
        <v>309</v>
      </c>
      <c r="M44" s="135" t="s">
        <v>310</v>
      </c>
    </row>
    <row r="45" spans="2:13" x14ac:dyDescent="0.35">
      <c r="B45" s="85" t="s">
        <v>141</v>
      </c>
      <c r="C45" s="176" t="s">
        <v>311</v>
      </c>
      <c r="D45" s="176"/>
      <c r="E45" s="176"/>
      <c r="F45" s="176"/>
      <c r="G45" s="176"/>
      <c r="H45" s="176"/>
      <c r="I45" s="90">
        <v>1.4999999999999999E-2</v>
      </c>
      <c r="J45" s="129">
        <f>TRUNC(($J$33+$J$39)*$I$45,2)</f>
        <v>0</v>
      </c>
      <c r="L45" s="87"/>
      <c r="M45" s="135" t="s">
        <v>312</v>
      </c>
    </row>
    <row r="46" spans="2:13" x14ac:dyDescent="0.35">
      <c r="B46" s="85" t="s">
        <v>163</v>
      </c>
      <c r="C46" s="176" t="s">
        <v>313</v>
      </c>
      <c r="D46" s="176"/>
      <c r="E46" s="176"/>
      <c r="F46" s="176"/>
      <c r="G46" s="176"/>
      <c r="H46" s="176"/>
      <c r="I46" s="90">
        <v>0.01</v>
      </c>
      <c r="J46" s="129">
        <f>TRUNC(($J$33+$J$39)*$I$46,2)</f>
        <v>0</v>
      </c>
      <c r="L46" s="87"/>
      <c r="M46" s="135" t="s">
        <v>314</v>
      </c>
    </row>
    <row r="47" spans="2:13" x14ac:dyDescent="0.35">
      <c r="B47" s="85" t="s">
        <v>165</v>
      </c>
      <c r="C47" s="176" t="s">
        <v>315</v>
      </c>
      <c r="D47" s="176"/>
      <c r="E47" s="176"/>
      <c r="F47" s="176"/>
      <c r="G47" s="176"/>
      <c r="H47" s="176"/>
      <c r="I47" s="90">
        <v>6.0000000000000001E-3</v>
      </c>
      <c r="J47" s="129">
        <f>TRUNC(($J$33+$J$39)*$I$47,2)</f>
        <v>0</v>
      </c>
      <c r="L47" s="87"/>
      <c r="M47" s="136" t="s">
        <v>316</v>
      </c>
    </row>
    <row r="48" spans="2:13" x14ac:dyDescent="0.35">
      <c r="B48" s="85" t="s">
        <v>168</v>
      </c>
      <c r="C48" s="176" t="s">
        <v>317</v>
      </c>
      <c r="D48" s="176"/>
      <c r="E48" s="176"/>
      <c r="F48" s="176"/>
      <c r="G48" s="176"/>
      <c r="H48" s="176"/>
      <c r="I48" s="90">
        <v>2E-3</v>
      </c>
      <c r="J48" s="129">
        <f>TRUNC(($J$33+$J$39)*$I$48,2)</f>
        <v>0</v>
      </c>
      <c r="L48" s="87"/>
      <c r="M48" s="135" t="s">
        <v>314</v>
      </c>
    </row>
    <row r="49" spans="2:13" x14ac:dyDescent="0.35">
      <c r="B49" s="85" t="s">
        <v>169</v>
      </c>
      <c r="C49" s="176" t="s">
        <v>318</v>
      </c>
      <c r="D49" s="176"/>
      <c r="E49" s="176"/>
      <c r="F49" s="176"/>
      <c r="G49" s="176"/>
      <c r="H49" s="176"/>
      <c r="I49" s="90">
        <v>0.08</v>
      </c>
      <c r="J49" s="129">
        <f>TRUNC(($J$33+$J$39)*$I$49,2)</f>
        <v>0</v>
      </c>
      <c r="L49" s="87"/>
      <c r="M49" s="135" t="s">
        <v>319</v>
      </c>
    </row>
    <row r="50" spans="2:13" x14ac:dyDescent="0.35">
      <c r="B50" s="177" t="s">
        <v>320</v>
      </c>
      <c r="C50" s="177"/>
      <c r="D50" s="177"/>
      <c r="E50" s="177"/>
      <c r="F50" s="177"/>
      <c r="G50" s="177"/>
      <c r="H50" s="177"/>
      <c r="I50" s="92">
        <f>SUM(I42:I49)</f>
        <v>0.36800000000000005</v>
      </c>
      <c r="J50" s="130">
        <f>SUM(J42:J49)</f>
        <v>0</v>
      </c>
    </row>
    <row r="51" spans="2:13" x14ac:dyDescent="0.35">
      <c r="B51" s="198"/>
      <c r="C51" s="198"/>
      <c r="D51" s="198"/>
      <c r="E51" s="198"/>
      <c r="F51" s="198"/>
      <c r="G51" s="198"/>
      <c r="H51" s="198"/>
      <c r="I51" s="198"/>
      <c r="J51" s="199"/>
    </row>
    <row r="52" spans="2:13" x14ac:dyDescent="0.35">
      <c r="B52" s="203" t="s">
        <v>321</v>
      </c>
      <c r="C52" s="203"/>
      <c r="D52" s="203"/>
      <c r="E52" s="203"/>
      <c r="F52" s="203"/>
      <c r="G52" s="203"/>
      <c r="H52" s="203"/>
      <c r="I52" s="138"/>
      <c r="J52" s="132" t="s">
        <v>156</v>
      </c>
      <c r="L52" s="76" t="s">
        <v>157</v>
      </c>
      <c r="M52" s="76" t="s">
        <v>158</v>
      </c>
    </row>
    <row r="53" spans="2:13" ht="25.5" customHeight="1" x14ac:dyDescent="0.35">
      <c r="B53" s="85" t="s">
        <v>135</v>
      </c>
      <c r="C53" s="176" t="s">
        <v>254</v>
      </c>
      <c r="D53" s="176"/>
      <c r="E53" s="176"/>
      <c r="F53" s="176"/>
      <c r="G53" s="176"/>
      <c r="H53" s="176"/>
      <c r="I53" s="84" t="s">
        <v>24</v>
      </c>
      <c r="J53" s="139">
        <f>TRUNC((0*2*22)-(6%*J27),2)</f>
        <v>0</v>
      </c>
      <c r="L53" s="77" t="s">
        <v>170</v>
      </c>
      <c r="M53" s="77" t="s">
        <v>171</v>
      </c>
    </row>
    <row r="54" spans="2:13" x14ac:dyDescent="0.35">
      <c r="B54" s="85" t="s">
        <v>137</v>
      </c>
      <c r="C54" s="176" t="s">
        <v>389</v>
      </c>
      <c r="D54" s="176"/>
      <c r="E54" s="176"/>
      <c r="F54" s="176"/>
      <c r="G54" s="176"/>
      <c r="H54" s="176"/>
      <c r="I54" s="84" t="s">
        <v>24</v>
      </c>
      <c r="J54" s="140">
        <f>TRUNC(((0)*22),2)</f>
        <v>0</v>
      </c>
      <c r="L54" s="88" t="s">
        <v>202</v>
      </c>
      <c r="M54" s="88" t="s">
        <v>322</v>
      </c>
    </row>
    <row r="55" spans="2:13" x14ac:dyDescent="0.35">
      <c r="B55" s="85" t="s">
        <v>139</v>
      </c>
      <c r="C55" s="200" t="s">
        <v>323</v>
      </c>
      <c r="D55" s="201"/>
      <c r="E55" s="201"/>
      <c r="F55" s="201"/>
      <c r="G55" s="201"/>
      <c r="H55" s="202"/>
      <c r="I55" s="84" t="s">
        <v>24</v>
      </c>
      <c r="J55" s="140"/>
      <c r="L55" s="80"/>
      <c r="M55" s="88" t="s">
        <v>324</v>
      </c>
    </row>
    <row r="56" spans="2:13" x14ac:dyDescent="0.35">
      <c r="B56" s="85" t="s">
        <v>141</v>
      </c>
      <c r="C56" s="200" t="s">
        <v>325</v>
      </c>
      <c r="D56" s="201"/>
      <c r="E56" s="201"/>
      <c r="F56" s="201"/>
      <c r="G56" s="201"/>
      <c r="H56" s="202"/>
      <c r="I56" s="84" t="s">
        <v>24</v>
      </c>
      <c r="J56" s="140">
        <v>0</v>
      </c>
      <c r="L56" s="87"/>
      <c r="M56" s="88" t="s">
        <v>326</v>
      </c>
    </row>
    <row r="57" spans="2:13" x14ac:dyDescent="0.35">
      <c r="B57" s="85" t="s">
        <v>163</v>
      </c>
      <c r="C57" s="185" t="s">
        <v>166</v>
      </c>
      <c r="D57" s="185"/>
      <c r="E57" s="185"/>
      <c r="F57" s="185"/>
      <c r="G57" s="185"/>
      <c r="H57" s="185"/>
      <c r="I57" s="84" t="s">
        <v>24</v>
      </c>
      <c r="J57" s="139"/>
      <c r="L57" s="88"/>
      <c r="M57" s="88" t="s">
        <v>327</v>
      </c>
    </row>
    <row r="58" spans="2:13" x14ac:dyDescent="0.35">
      <c r="B58" s="177" t="s">
        <v>328</v>
      </c>
      <c r="C58" s="177"/>
      <c r="D58" s="177"/>
      <c r="E58" s="177"/>
      <c r="F58" s="177"/>
      <c r="G58" s="177"/>
      <c r="H58" s="177"/>
      <c r="I58" s="177"/>
      <c r="J58" s="130">
        <f>SUM(J53:J57)</f>
        <v>0</v>
      </c>
    </row>
    <row r="59" spans="2:13" x14ac:dyDescent="0.35">
      <c r="B59" s="198"/>
      <c r="C59" s="198"/>
      <c r="D59" s="198"/>
      <c r="E59" s="198"/>
      <c r="F59" s="198"/>
      <c r="G59" s="198"/>
      <c r="H59" s="198"/>
      <c r="I59" s="198"/>
      <c r="J59" s="199"/>
    </row>
    <row r="60" spans="2:13" x14ac:dyDescent="0.35">
      <c r="B60" s="180" t="s">
        <v>329</v>
      </c>
      <c r="C60" s="180"/>
      <c r="D60" s="180"/>
      <c r="E60" s="180"/>
      <c r="F60" s="180"/>
      <c r="G60" s="180"/>
      <c r="H60" s="180"/>
      <c r="I60" s="180"/>
      <c r="J60" s="180"/>
    </row>
    <row r="61" spans="2:13" x14ac:dyDescent="0.35">
      <c r="B61" s="177" t="s">
        <v>330</v>
      </c>
      <c r="C61" s="177"/>
      <c r="D61" s="177"/>
      <c r="E61" s="177"/>
      <c r="F61" s="177"/>
      <c r="G61" s="177"/>
      <c r="H61" s="177"/>
      <c r="I61" s="177"/>
      <c r="J61" s="85" t="s">
        <v>156</v>
      </c>
    </row>
    <row r="62" spans="2:13" x14ac:dyDescent="0.35">
      <c r="B62" s="85" t="s">
        <v>331</v>
      </c>
      <c r="C62" s="176" t="s">
        <v>332</v>
      </c>
      <c r="D62" s="176"/>
      <c r="E62" s="176"/>
      <c r="F62" s="176"/>
      <c r="G62" s="176"/>
      <c r="H62" s="176"/>
      <c r="I62" s="176"/>
      <c r="J62" s="129">
        <f>J39</f>
        <v>0</v>
      </c>
    </row>
    <row r="63" spans="2:13" x14ac:dyDescent="0.35">
      <c r="B63" s="85" t="s">
        <v>333</v>
      </c>
      <c r="C63" s="176" t="s">
        <v>334</v>
      </c>
      <c r="D63" s="176"/>
      <c r="E63" s="176"/>
      <c r="F63" s="176"/>
      <c r="G63" s="176"/>
      <c r="H63" s="176"/>
      <c r="I63" s="176"/>
      <c r="J63" s="129">
        <f>J50</f>
        <v>0</v>
      </c>
    </row>
    <row r="64" spans="2:13" x14ac:dyDescent="0.35">
      <c r="B64" s="85" t="s">
        <v>335</v>
      </c>
      <c r="C64" s="176" t="s">
        <v>336</v>
      </c>
      <c r="D64" s="176"/>
      <c r="E64" s="176"/>
      <c r="F64" s="176"/>
      <c r="G64" s="176"/>
      <c r="H64" s="176"/>
      <c r="I64" s="176"/>
      <c r="J64" s="129">
        <f>J58</f>
        <v>0</v>
      </c>
    </row>
    <row r="65" spans="2:13" x14ac:dyDescent="0.35">
      <c r="B65" s="177" t="s">
        <v>172</v>
      </c>
      <c r="C65" s="177"/>
      <c r="D65" s="177"/>
      <c r="E65" s="177"/>
      <c r="F65" s="177"/>
      <c r="G65" s="177"/>
      <c r="H65" s="177"/>
      <c r="I65" s="177"/>
      <c r="J65" s="130">
        <f>SUM(J62:J64)</f>
        <v>0</v>
      </c>
    </row>
    <row r="66" spans="2:13" x14ac:dyDescent="0.35">
      <c r="B66" s="186"/>
      <c r="C66" s="187"/>
      <c r="D66" s="187"/>
      <c r="E66" s="187"/>
      <c r="F66" s="187"/>
      <c r="G66" s="187"/>
      <c r="H66" s="187"/>
      <c r="I66" s="187"/>
      <c r="J66" s="187"/>
    </row>
    <row r="67" spans="2:13" x14ac:dyDescent="0.35">
      <c r="B67" s="188" t="s">
        <v>337</v>
      </c>
      <c r="C67" s="188"/>
      <c r="D67" s="188"/>
      <c r="E67" s="188"/>
      <c r="F67" s="188"/>
      <c r="G67" s="188"/>
      <c r="H67" s="188"/>
      <c r="I67" s="188"/>
      <c r="J67" s="188"/>
    </row>
    <row r="68" spans="2:13" x14ac:dyDescent="0.35">
      <c r="B68" s="85">
        <v>3</v>
      </c>
      <c r="C68" s="177" t="s">
        <v>338</v>
      </c>
      <c r="D68" s="177"/>
      <c r="E68" s="177"/>
      <c r="F68" s="177"/>
      <c r="G68" s="177"/>
      <c r="H68" s="177"/>
      <c r="I68" s="85" t="s">
        <v>155</v>
      </c>
      <c r="J68" s="85" t="s">
        <v>156</v>
      </c>
      <c r="L68" s="76" t="s">
        <v>157</v>
      </c>
      <c r="M68" s="76" t="s">
        <v>158</v>
      </c>
    </row>
    <row r="69" spans="2:13" ht="25.5" customHeight="1" x14ac:dyDescent="0.35">
      <c r="B69" s="85" t="s">
        <v>135</v>
      </c>
      <c r="C69" s="176" t="s">
        <v>339</v>
      </c>
      <c r="D69" s="176"/>
      <c r="E69" s="176"/>
      <c r="F69" s="176"/>
      <c r="G69" s="176"/>
      <c r="H69" s="176"/>
      <c r="I69" s="90">
        <f>(1/12)*5%</f>
        <v>4.1666666666666666E-3</v>
      </c>
      <c r="J69" s="129">
        <f>TRUNC(I69*$J$33,2)</f>
        <v>0</v>
      </c>
      <c r="L69" s="141" t="s">
        <v>340</v>
      </c>
      <c r="M69" s="141" t="s">
        <v>341</v>
      </c>
    </row>
    <row r="70" spans="2:13" x14ac:dyDescent="0.35">
      <c r="B70" s="85" t="s">
        <v>137</v>
      </c>
      <c r="C70" s="176" t="s">
        <v>342</v>
      </c>
      <c r="D70" s="176"/>
      <c r="E70" s="176"/>
      <c r="F70" s="176"/>
      <c r="G70" s="176"/>
      <c r="H70" s="176"/>
      <c r="I70" s="90">
        <f>I49*I69</f>
        <v>3.3333333333333332E-4</v>
      </c>
      <c r="J70" s="129">
        <f>TRUNC(I70*$J$33,2)</f>
        <v>0</v>
      </c>
      <c r="L70" s="141" t="s">
        <v>343</v>
      </c>
      <c r="M70" s="141" t="s">
        <v>344</v>
      </c>
    </row>
    <row r="71" spans="2:13" x14ac:dyDescent="0.35">
      <c r="B71" s="85" t="s">
        <v>139</v>
      </c>
      <c r="C71" s="176" t="s">
        <v>345</v>
      </c>
      <c r="D71" s="176"/>
      <c r="E71" s="176"/>
      <c r="F71" s="176"/>
      <c r="G71" s="176"/>
      <c r="H71" s="176"/>
      <c r="I71" s="90">
        <f>((7/30)/12)</f>
        <v>1.9444444444444445E-2</v>
      </c>
      <c r="J71" s="129">
        <f>TRUNC(I71*$J$33,2)</f>
        <v>0</v>
      </c>
      <c r="L71" s="141" t="s">
        <v>346</v>
      </c>
      <c r="M71" s="141" t="s">
        <v>347</v>
      </c>
    </row>
    <row r="72" spans="2:13" ht="25.5" customHeight="1" x14ac:dyDescent="0.35">
      <c r="B72" s="85" t="s">
        <v>141</v>
      </c>
      <c r="C72" s="176" t="s">
        <v>348</v>
      </c>
      <c r="D72" s="176"/>
      <c r="E72" s="176"/>
      <c r="F72" s="176"/>
      <c r="G72" s="176"/>
      <c r="H72" s="176"/>
      <c r="I72" s="91">
        <f>I50*I71</f>
        <v>7.1555555555555565E-3</v>
      </c>
      <c r="J72" s="129">
        <f>TRUNC(I72*$J$33,2)</f>
        <v>0</v>
      </c>
      <c r="L72" s="141" t="s">
        <v>349</v>
      </c>
    </row>
    <row r="73" spans="2:13" ht="25.5" customHeight="1" x14ac:dyDescent="0.35">
      <c r="B73" s="85" t="s">
        <v>163</v>
      </c>
      <c r="C73" s="193" t="s">
        <v>350</v>
      </c>
      <c r="D73" s="193"/>
      <c r="E73" s="193"/>
      <c r="F73" s="193"/>
      <c r="G73" s="193"/>
      <c r="H73" s="193"/>
      <c r="I73" s="90">
        <v>0.04</v>
      </c>
      <c r="J73" s="129">
        <f>TRUNC(I73*$J$33,2)</f>
        <v>0</v>
      </c>
      <c r="L73" s="142" t="s">
        <v>351</v>
      </c>
      <c r="M73" s="143" t="s">
        <v>352</v>
      </c>
    </row>
    <row r="74" spans="2:13" x14ac:dyDescent="0.35">
      <c r="B74" s="177" t="s">
        <v>173</v>
      </c>
      <c r="C74" s="177"/>
      <c r="D74" s="177"/>
      <c r="E74" s="177"/>
      <c r="F74" s="177"/>
      <c r="G74" s="177"/>
      <c r="H74" s="177"/>
      <c r="I74" s="92">
        <f>SUM(I69:I73)</f>
        <v>7.1099999999999997E-2</v>
      </c>
      <c r="J74" s="130">
        <f>SUM(J69:J73)</f>
        <v>0</v>
      </c>
    </row>
    <row r="75" spans="2:13" ht="40.4" customHeight="1" x14ac:dyDescent="0.35">
      <c r="B75" s="144" t="s">
        <v>353</v>
      </c>
      <c r="C75" s="194" t="s">
        <v>354</v>
      </c>
      <c r="D75" s="194"/>
      <c r="E75" s="194"/>
      <c r="F75" s="194"/>
      <c r="G75" s="194"/>
      <c r="H75" s="194"/>
      <c r="I75" s="194"/>
      <c r="J75" s="195"/>
    </row>
    <row r="76" spans="2:13" x14ac:dyDescent="0.35">
      <c r="B76" s="196"/>
      <c r="C76" s="197"/>
      <c r="D76" s="197"/>
      <c r="E76" s="197"/>
      <c r="F76" s="197"/>
      <c r="G76" s="197"/>
      <c r="H76" s="197"/>
      <c r="I76" s="197"/>
      <c r="J76" s="197"/>
    </row>
    <row r="77" spans="2:13" x14ac:dyDescent="0.35">
      <c r="B77" s="188" t="s">
        <v>355</v>
      </c>
      <c r="C77" s="188"/>
      <c r="D77" s="188"/>
      <c r="E77" s="188"/>
      <c r="F77" s="188"/>
      <c r="G77" s="188"/>
      <c r="H77" s="188"/>
      <c r="I77" s="188"/>
      <c r="J77" s="188"/>
    </row>
    <row r="78" spans="2:13" x14ac:dyDescent="0.35">
      <c r="B78" s="177" t="s">
        <v>356</v>
      </c>
      <c r="C78" s="177"/>
      <c r="D78" s="177"/>
      <c r="E78" s="177"/>
      <c r="F78" s="177"/>
      <c r="G78" s="177"/>
      <c r="H78" s="177"/>
      <c r="I78" s="85" t="s">
        <v>155</v>
      </c>
      <c r="J78" s="85" t="s">
        <v>156</v>
      </c>
      <c r="L78" s="76" t="s">
        <v>157</v>
      </c>
      <c r="M78" s="76" t="s">
        <v>158</v>
      </c>
    </row>
    <row r="79" spans="2:13" ht="25.5" customHeight="1" x14ac:dyDescent="0.35">
      <c r="B79" s="85" t="s">
        <v>135</v>
      </c>
      <c r="C79" s="176" t="s">
        <v>357</v>
      </c>
      <c r="D79" s="176"/>
      <c r="E79" s="176"/>
      <c r="F79" s="176"/>
      <c r="G79" s="176"/>
      <c r="H79" s="176"/>
      <c r="I79" s="90">
        <f>(1/12/12)+(1/12/12)+(1/12/12/3)</f>
        <v>1.6203703703703703E-2</v>
      </c>
      <c r="J79" s="129">
        <f t="shared" ref="J79:J84" si="0">TRUNC(($J$33)*I79,2)</f>
        <v>0</v>
      </c>
      <c r="L79" s="141" t="s">
        <v>358</v>
      </c>
      <c r="M79" s="141" t="s">
        <v>359</v>
      </c>
    </row>
    <row r="80" spans="2:13" x14ac:dyDescent="0.35">
      <c r="B80" s="85" t="s">
        <v>137</v>
      </c>
      <c r="C80" s="176" t="s">
        <v>360</v>
      </c>
      <c r="D80" s="176"/>
      <c r="E80" s="176"/>
      <c r="F80" s="176"/>
      <c r="G80" s="176"/>
      <c r="H80" s="176"/>
      <c r="I80" s="90">
        <f>((1/30))/12</f>
        <v>2.7777777777777779E-3</v>
      </c>
      <c r="J80" s="129">
        <f t="shared" si="0"/>
        <v>0</v>
      </c>
      <c r="L80" s="141" t="s">
        <v>361</v>
      </c>
      <c r="M80" s="141" t="s">
        <v>362</v>
      </c>
    </row>
    <row r="81" spans="2:13" ht="25.5" customHeight="1" x14ac:dyDescent="0.35">
      <c r="B81" s="85" t="s">
        <v>139</v>
      </c>
      <c r="C81" s="176" t="s">
        <v>363</v>
      </c>
      <c r="D81" s="176"/>
      <c r="E81" s="176"/>
      <c r="F81" s="176"/>
      <c r="G81" s="176"/>
      <c r="H81" s="176"/>
      <c r="I81" s="90">
        <f>((5/30)/12)*1.5%</f>
        <v>2.0833333333333332E-4</v>
      </c>
      <c r="J81" s="129">
        <f t="shared" si="0"/>
        <v>0</v>
      </c>
      <c r="L81" s="141" t="s">
        <v>364</v>
      </c>
      <c r="M81" s="133" t="s">
        <v>365</v>
      </c>
    </row>
    <row r="82" spans="2:13" ht="25.5" customHeight="1" x14ac:dyDescent="0.35">
      <c r="B82" s="85" t="s">
        <v>141</v>
      </c>
      <c r="C82" s="176" t="s">
        <v>366</v>
      </c>
      <c r="D82" s="176"/>
      <c r="E82" s="176"/>
      <c r="F82" s="176"/>
      <c r="G82" s="176"/>
      <c r="H82" s="176"/>
      <c r="I82" s="90">
        <f>((15/30)/12)*8%</f>
        <v>3.3333333333333331E-3</v>
      </c>
      <c r="J82" s="129">
        <f t="shared" si="0"/>
        <v>0</v>
      </c>
      <c r="L82" s="141" t="s">
        <v>367</v>
      </c>
      <c r="M82" s="133" t="s">
        <v>368</v>
      </c>
    </row>
    <row r="83" spans="2:13" ht="25.5" customHeight="1" x14ac:dyDescent="0.35">
      <c r="B83" s="85" t="s">
        <v>163</v>
      </c>
      <c r="C83" s="176" t="s">
        <v>369</v>
      </c>
      <c r="D83" s="176"/>
      <c r="E83" s="176"/>
      <c r="F83" s="176"/>
      <c r="G83" s="176"/>
      <c r="H83" s="176"/>
      <c r="I83" s="90">
        <f>(((4*8.33%)+(4*2.78%))/12)*2%</f>
        <v>7.4066666666666671E-4</v>
      </c>
      <c r="J83" s="129">
        <f t="shared" si="0"/>
        <v>0</v>
      </c>
      <c r="L83" s="141" t="s">
        <v>370</v>
      </c>
      <c r="M83" s="133" t="s">
        <v>371</v>
      </c>
    </row>
    <row r="84" spans="2:13" x14ac:dyDescent="0.35">
      <c r="B84" s="85" t="s">
        <v>165</v>
      </c>
      <c r="C84" s="176" t="s">
        <v>372</v>
      </c>
      <c r="D84" s="176"/>
      <c r="E84" s="176"/>
      <c r="F84" s="176"/>
      <c r="G84" s="176"/>
      <c r="H84" s="176"/>
      <c r="I84" s="90">
        <v>0</v>
      </c>
      <c r="J84" s="129">
        <f t="shared" si="0"/>
        <v>0</v>
      </c>
    </row>
    <row r="85" spans="2:13" x14ac:dyDescent="0.35">
      <c r="B85" s="177" t="s">
        <v>373</v>
      </c>
      <c r="C85" s="177"/>
      <c r="D85" s="177"/>
      <c r="E85" s="177"/>
      <c r="F85" s="177"/>
      <c r="G85" s="177"/>
      <c r="H85" s="177"/>
      <c r="I85" s="92">
        <f>SUM(I79:I84)</f>
        <v>2.3263814814814817E-2</v>
      </c>
      <c r="J85" s="130">
        <f>SUM(J79:J84)</f>
        <v>0</v>
      </c>
    </row>
    <row r="86" spans="2:13" x14ac:dyDescent="0.35">
      <c r="B86" s="191"/>
      <c r="C86" s="192"/>
      <c r="D86" s="192"/>
      <c r="E86" s="192"/>
      <c r="F86" s="192"/>
      <c r="G86" s="192"/>
      <c r="H86" s="192"/>
      <c r="I86" s="192"/>
      <c r="J86" s="192"/>
    </row>
    <row r="87" spans="2:13" x14ac:dyDescent="0.35">
      <c r="B87" s="177" t="s">
        <v>374</v>
      </c>
      <c r="C87" s="177"/>
      <c r="D87" s="177"/>
      <c r="E87" s="177"/>
      <c r="F87" s="177"/>
      <c r="G87" s="177"/>
      <c r="H87" s="177"/>
      <c r="I87" s="85" t="s">
        <v>155</v>
      </c>
      <c r="J87" s="85" t="s">
        <v>156</v>
      </c>
    </row>
    <row r="88" spans="2:13" x14ac:dyDescent="0.35">
      <c r="B88" s="85" t="s">
        <v>135</v>
      </c>
      <c r="C88" s="193" t="s">
        <v>375</v>
      </c>
      <c r="D88" s="176"/>
      <c r="E88" s="176"/>
      <c r="F88" s="176"/>
      <c r="G88" s="176"/>
      <c r="H88" s="176"/>
      <c r="I88" s="90">
        <v>0</v>
      </c>
      <c r="J88" s="129">
        <v>0</v>
      </c>
    </row>
    <row r="89" spans="2:13" x14ac:dyDescent="0.35">
      <c r="B89" s="177" t="s">
        <v>376</v>
      </c>
      <c r="C89" s="177"/>
      <c r="D89" s="177"/>
      <c r="E89" s="177"/>
      <c r="F89" s="177"/>
      <c r="G89" s="177"/>
      <c r="H89" s="177"/>
      <c r="I89" s="92">
        <v>0</v>
      </c>
      <c r="J89" s="130">
        <v>0</v>
      </c>
    </row>
    <row r="90" spans="2:13" x14ac:dyDescent="0.35">
      <c r="B90" s="189"/>
      <c r="C90" s="190"/>
      <c r="D90" s="190"/>
      <c r="E90" s="190"/>
      <c r="F90" s="190"/>
      <c r="G90" s="190"/>
      <c r="H90" s="190"/>
      <c r="I90" s="190"/>
      <c r="J90" s="190"/>
    </row>
    <row r="91" spans="2:13" x14ac:dyDescent="0.35">
      <c r="B91" s="180" t="s">
        <v>377</v>
      </c>
      <c r="C91" s="180"/>
      <c r="D91" s="180"/>
      <c r="E91" s="180"/>
      <c r="F91" s="180"/>
      <c r="G91" s="180"/>
      <c r="H91" s="180"/>
      <c r="I91" s="180"/>
      <c r="J91" s="180"/>
    </row>
    <row r="92" spans="2:13" x14ac:dyDescent="0.35">
      <c r="B92" s="177" t="s">
        <v>378</v>
      </c>
      <c r="C92" s="177"/>
      <c r="D92" s="177"/>
      <c r="E92" s="177"/>
      <c r="F92" s="177"/>
      <c r="G92" s="177"/>
      <c r="H92" s="177"/>
      <c r="I92" s="177"/>
      <c r="J92" s="85" t="s">
        <v>156</v>
      </c>
    </row>
    <row r="93" spans="2:13" x14ac:dyDescent="0.35">
      <c r="B93" s="85" t="s">
        <v>379</v>
      </c>
      <c r="C93" s="176" t="s">
        <v>380</v>
      </c>
      <c r="D93" s="176"/>
      <c r="E93" s="176"/>
      <c r="F93" s="176"/>
      <c r="G93" s="176"/>
      <c r="H93" s="176"/>
      <c r="I93" s="176"/>
      <c r="J93" s="129">
        <f>J85</f>
        <v>0</v>
      </c>
    </row>
    <row r="94" spans="2:13" x14ac:dyDescent="0.35">
      <c r="B94" s="85" t="s">
        <v>381</v>
      </c>
      <c r="C94" s="176" t="s">
        <v>382</v>
      </c>
      <c r="D94" s="176"/>
      <c r="E94" s="176"/>
      <c r="F94" s="176"/>
      <c r="G94" s="176"/>
      <c r="H94" s="176"/>
      <c r="I94" s="176"/>
      <c r="J94" s="129">
        <f>J89</f>
        <v>0</v>
      </c>
    </row>
    <row r="95" spans="2:13" x14ac:dyDescent="0.35">
      <c r="B95" s="177" t="s">
        <v>174</v>
      </c>
      <c r="C95" s="177"/>
      <c r="D95" s="177"/>
      <c r="E95" s="177"/>
      <c r="F95" s="177"/>
      <c r="G95" s="177"/>
      <c r="H95" s="177"/>
      <c r="I95" s="177"/>
      <c r="J95" s="130">
        <f>SUM(J93:J94)</f>
        <v>0</v>
      </c>
    </row>
    <row r="96" spans="2:13" x14ac:dyDescent="0.35">
      <c r="B96" s="186"/>
      <c r="C96" s="187"/>
      <c r="D96" s="187"/>
      <c r="E96" s="187"/>
      <c r="F96" s="187"/>
      <c r="G96" s="187"/>
      <c r="H96" s="187"/>
      <c r="I96" s="187"/>
      <c r="J96" s="187"/>
    </row>
    <row r="97" spans="2:13" x14ac:dyDescent="0.35">
      <c r="B97" s="188" t="s">
        <v>383</v>
      </c>
      <c r="C97" s="188"/>
      <c r="D97" s="188"/>
      <c r="E97" s="188"/>
      <c r="F97" s="188"/>
      <c r="G97" s="188"/>
      <c r="H97" s="188"/>
      <c r="I97" s="188"/>
      <c r="J97" s="188"/>
    </row>
    <row r="98" spans="2:13" x14ac:dyDescent="0.35">
      <c r="B98" s="85">
        <v>5</v>
      </c>
      <c r="C98" s="177" t="s">
        <v>384</v>
      </c>
      <c r="D98" s="177"/>
      <c r="E98" s="177"/>
      <c r="F98" s="177"/>
      <c r="G98" s="177"/>
      <c r="H98" s="177"/>
      <c r="I98" s="85"/>
      <c r="J98" s="85" t="s">
        <v>156</v>
      </c>
      <c r="L98"/>
      <c r="M98"/>
    </row>
    <row r="99" spans="2:13" x14ac:dyDescent="0.35">
      <c r="B99" s="85" t="s">
        <v>135</v>
      </c>
      <c r="C99" s="185" t="s">
        <v>175</v>
      </c>
      <c r="D99" s="185"/>
      <c r="E99" s="185"/>
      <c r="F99" s="185"/>
      <c r="G99" s="185"/>
      <c r="H99" s="185"/>
      <c r="I99" s="90" t="s">
        <v>24</v>
      </c>
      <c r="J99" s="145">
        <v>0</v>
      </c>
      <c r="L99"/>
      <c r="M99"/>
    </row>
    <row r="100" spans="2:13" x14ac:dyDescent="0.35">
      <c r="B100" s="85" t="s">
        <v>137</v>
      </c>
      <c r="C100" s="185" t="s">
        <v>385</v>
      </c>
      <c r="D100" s="185"/>
      <c r="E100" s="185"/>
      <c r="F100" s="185"/>
      <c r="G100" s="185"/>
      <c r="H100" s="185"/>
      <c r="I100" s="90" t="s">
        <v>24</v>
      </c>
      <c r="J100" s="145">
        <v>0</v>
      </c>
      <c r="L100"/>
      <c r="M100"/>
    </row>
    <row r="101" spans="2:13" x14ac:dyDescent="0.35">
      <c r="B101" s="137" t="s">
        <v>139</v>
      </c>
      <c r="C101" s="185" t="s">
        <v>166</v>
      </c>
      <c r="D101" s="185"/>
      <c r="E101" s="185"/>
      <c r="F101" s="185"/>
      <c r="G101" s="185"/>
      <c r="H101" s="185"/>
      <c r="I101" s="84"/>
      <c r="J101" s="129"/>
    </row>
    <row r="102" spans="2:13" x14ac:dyDescent="0.35">
      <c r="B102" s="137" t="s">
        <v>141</v>
      </c>
      <c r="C102" s="185" t="s">
        <v>166</v>
      </c>
      <c r="D102" s="185"/>
      <c r="E102" s="185"/>
      <c r="F102" s="185"/>
      <c r="G102" s="185"/>
      <c r="H102" s="185"/>
      <c r="I102" s="84" t="s">
        <v>24</v>
      </c>
      <c r="J102" s="129">
        <v>0</v>
      </c>
    </row>
    <row r="103" spans="2:13" x14ac:dyDescent="0.35">
      <c r="B103" s="177" t="s">
        <v>176</v>
      </c>
      <c r="C103" s="177"/>
      <c r="D103" s="177"/>
      <c r="E103" s="177"/>
      <c r="F103" s="177"/>
      <c r="G103" s="177"/>
      <c r="H103" s="177"/>
      <c r="I103" s="92" t="s">
        <v>24</v>
      </c>
      <c r="J103" s="130">
        <f>SUM(J99:J102)</f>
        <v>0</v>
      </c>
    </row>
    <row r="104" spans="2:13" x14ac:dyDescent="0.35">
      <c r="B104" s="186"/>
      <c r="C104" s="187"/>
      <c r="D104" s="187"/>
      <c r="E104" s="187"/>
      <c r="F104" s="187"/>
      <c r="G104" s="187"/>
      <c r="H104" s="187"/>
      <c r="I104" s="187"/>
      <c r="J104" s="187"/>
    </row>
    <row r="105" spans="2:13" x14ac:dyDescent="0.35">
      <c r="B105" s="188" t="s">
        <v>386</v>
      </c>
      <c r="C105" s="188"/>
      <c r="D105" s="188"/>
      <c r="E105" s="188"/>
      <c r="F105" s="188"/>
      <c r="G105" s="188"/>
      <c r="H105" s="188"/>
      <c r="I105" s="188"/>
      <c r="J105" s="188"/>
    </row>
    <row r="106" spans="2:13" x14ac:dyDescent="0.35">
      <c r="B106" s="85">
        <v>6</v>
      </c>
      <c r="C106" s="177" t="s">
        <v>387</v>
      </c>
      <c r="D106" s="177"/>
      <c r="E106" s="177"/>
      <c r="F106" s="177"/>
      <c r="G106" s="177"/>
      <c r="H106" s="177"/>
      <c r="I106" s="85" t="s">
        <v>155</v>
      </c>
      <c r="J106" s="85" t="s">
        <v>156</v>
      </c>
      <c r="L106" s="76" t="s">
        <v>157</v>
      </c>
      <c r="M106" s="76" t="s">
        <v>158</v>
      </c>
    </row>
    <row r="107" spans="2:13" x14ac:dyDescent="0.35">
      <c r="B107" s="85" t="s">
        <v>135</v>
      </c>
      <c r="C107" s="176" t="s">
        <v>177</v>
      </c>
      <c r="D107" s="176"/>
      <c r="E107" s="176"/>
      <c r="F107" s="176"/>
      <c r="G107" s="176"/>
      <c r="H107" s="176"/>
      <c r="I107" s="93">
        <v>5.2699999999999997E-2</v>
      </c>
      <c r="J107" s="129">
        <f>TRUNC(((J131)*I107),2)</f>
        <v>0</v>
      </c>
      <c r="L107" s="80"/>
      <c r="M107" s="80" t="s">
        <v>178</v>
      </c>
    </row>
    <row r="108" spans="2:13" x14ac:dyDescent="0.35">
      <c r="B108" s="85" t="s">
        <v>137</v>
      </c>
      <c r="C108" s="176" t="s">
        <v>179</v>
      </c>
      <c r="D108" s="176"/>
      <c r="E108" s="176"/>
      <c r="F108" s="176"/>
      <c r="G108" s="176"/>
      <c r="H108" s="176"/>
      <c r="I108" s="93">
        <v>6.0699999999999997E-2</v>
      </c>
      <c r="J108" s="129">
        <f>TRUNC(((J131+J107)*I108),2)</f>
        <v>0</v>
      </c>
      <c r="L108" s="80"/>
      <c r="M108" s="80" t="s">
        <v>180</v>
      </c>
    </row>
    <row r="109" spans="2:13" x14ac:dyDescent="0.35">
      <c r="B109" s="85" t="s">
        <v>139</v>
      </c>
      <c r="C109" s="184" t="s">
        <v>181</v>
      </c>
      <c r="D109" s="184"/>
      <c r="E109" s="184"/>
      <c r="F109" s="184"/>
      <c r="G109" s="184"/>
      <c r="H109" s="184"/>
      <c r="I109" s="89"/>
      <c r="J109" s="146"/>
      <c r="L109" s="14"/>
      <c r="M109" s="14"/>
    </row>
    <row r="110" spans="2:13" x14ac:dyDescent="0.35">
      <c r="B110" s="85" t="s">
        <v>182</v>
      </c>
      <c r="C110" s="176" t="s">
        <v>183</v>
      </c>
      <c r="D110" s="176"/>
      <c r="E110" s="176"/>
      <c r="F110" s="176"/>
      <c r="G110" s="176"/>
      <c r="H110" s="176"/>
      <c r="I110" s="94">
        <v>6.4999999999999997E-3</v>
      </c>
      <c r="J110" s="129">
        <f>TRUNC(I110*((J131+J107+J108)/(1-I115)),2)</f>
        <v>0</v>
      </c>
      <c r="L110" s="80"/>
      <c r="M110" s="80" t="s">
        <v>184</v>
      </c>
    </row>
    <row r="111" spans="2:13" x14ac:dyDescent="0.35">
      <c r="B111" s="85" t="s">
        <v>185</v>
      </c>
      <c r="C111" s="176" t="s">
        <v>186</v>
      </c>
      <c r="D111" s="176"/>
      <c r="E111" s="176"/>
      <c r="F111" s="176"/>
      <c r="G111" s="176"/>
      <c r="H111" s="176"/>
      <c r="I111" s="94">
        <v>0.03</v>
      </c>
      <c r="J111" s="129">
        <f>TRUNC(I111*(J131+J107+J108)/(1-I115),2)</f>
        <v>0</v>
      </c>
      <c r="L111" s="80"/>
      <c r="M111" s="80" t="s">
        <v>187</v>
      </c>
    </row>
    <row r="112" spans="2:13" x14ac:dyDescent="0.35">
      <c r="B112" s="85" t="s">
        <v>188</v>
      </c>
      <c r="C112" s="176" t="s">
        <v>189</v>
      </c>
      <c r="D112" s="176"/>
      <c r="E112" s="176"/>
      <c r="F112" s="176"/>
      <c r="G112" s="176"/>
      <c r="H112" s="176"/>
      <c r="I112" s="94">
        <v>0.05</v>
      </c>
      <c r="J112" s="129">
        <f>TRUNC(I112*(J131+J107+J108)/(1-I115),2)</f>
        <v>0</v>
      </c>
      <c r="L112" s="15"/>
      <c r="M112" s="15" t="s">
        <v>190</v>
      </c>
    </row>
    <row r="113" spans="2:13" x14ac:dyDescent="0.35">
      <c r="B113" s="177" t="s">
        <v>388</v>
      </c>
      <c r="C113" s="177"/>
      <c r="D113" s="177"/>
      <c r="E113" s="177"/>
      <c r="F113" s="177"/>
      <c r="G113" s="177"/>
      <c r="H113" s="177"/>
      <c r="I113" s="94">
        <f>SUM(I107:I112)</f>
        <v>0.19990000000000002</v>
      </c>
      <c r="J113" s="130">
        <f>SUM(J107:J112)</f>
        <v>0</v>
      </c>
    </row>
    <row r="114" spans="2:13" x14ac:dyDescent="0.35">
      <c r="B114" s="61"/>
      <c r="C114" s="181"/>
      <c r="D114" s="181"/>
      <c r="E114" s="181"/>
      <c r="F114" s="181"/>
      <c r="G114" s="181"/>
      <c r="H114" s="181"/>
      <c r="I114" s="181"/>
      <c r="J114" s="181"/>
      <c r="L114" s="14"/>
      <c r="M114" s="14"/>
    </row>
    <row r="115" spans="2:13" x14ac:dyDescent="0.35">
      <c r="B115" s="78" t="s">
        <v>191</v>
      </c>
      <c r="C115" s="182" t="s">
        <v>192</v>
      </c>
      <c r="D115" s="182"/>
      <c r="E115" s="182"/>
      <c r="F115" s="182"/>
      <c r="G115" s="182"/>
      <c r="H115" s="182"/>
      <c r="I115" s="79">
        <f>I110+I111+I112</f>
        <v>8.6499999999999994E-2</v>
      </c>
      <c r="J115" s="147"/>
    </row>
    <row r="116" spans="2:13" x14ac:dyDescent="0.35">
      <c r="B116" s="1"/>
      <c r="C116" s="183">
        <v>100</v>
      </c>
      <c r="D116" s="183"/>
      <c r="E116" s="183"/>
      <c r="F116" s="183"/>
      <c r="G116" s="183"/>
      <c r="H116" s="183"/>
      <c r="I116" s="107"/>
      <c r="J116" s="148"/>
    </row>
    <row r="117" spans="2:13" x14ac:dyDescent="0.35">
      <c r="B117" s="2"/>
      <c r="C117" s="60"/>
      <c r="D117" s="60"/>
      <c r="E117" s="60"/>
      <c r="F117" s="60"/>
      <c r="G117" s="60"/>
      <c r="H117" s="60"/>
      <c r="I117" s="107"/>
      <c r="J117" s="148"/>
    </row>
    <row r="118" spans="2:13" x14ac:dyDescent="0.35">
      <c r="B118" s="1" t="s">
        <v>193</v>
      </c>
      <c r="C118" s="183" t="s">
        <v>194</v>
      </c>
      <c r="D118" s="183"/>
      <c r="E118" s="183"/>
      <c r="F118" s="183"/>
      <c r="G118" s="183"/>
      <c r="H118" s="183"/>
      <c r="I118" s="107"/>
      <c r="J118" s="148">
        <f>J33+J65+J74+J95+J103+J107+J108</f>
        <v>0</v>
      </c>
    </row>
    <row r="119" spans="2:13" x14ac:dyDescent="0.35">
      <c r="B119" s="1"/>
      <c r="C119" s="60"/>
      <c r="D119" s="60"/>
      <c r="E119" s="60"/>
      <c r="F119" s="60"/>
      <c r="G119" s="60"/>
      <c r="H119" s="60"/>
      <c r="I119" s="107"/>
      <c r="J119" s="148"/>
    </row>
    <row r="120" spans="2:13" x14ac:dyDescent="0.35">
      <c r="B120" s="1" t="s">
        <v>195</v>
      </c>
      <c r="C120" s="183" t="s">
        <v>196</v>
      </c>
      <c r="D120" s="183"/>
      <c r="E120" s="183"/>
      <c r="F120" s="183"/>
      <c r="G120" s="183"/>
      <c r="H120" s="183"/>
      <c r="I120" s="107"/>
      <c r="J120" s="148">
        <f>TRUNC(J118/(1-I115),2)</f>
        <v>0</v>
      </c>
    </row>
    <row r="121" spans="2:13" x14ac:dyDescent="0.35">
      <c r="B121" s="1"/>
      <c r="C121" s="60"/>
      <c r="D121" s="60"/>
      <c r="E121" s="60"/>
      <c r="F121" s="60"/>
      <c r="G121" s="60"/>
      <c r="H121" s="60"/>
      <c r="I121" s="107"/>
      <c r="J121" s="148"/>
    </row>
    <row r="122" spans="2:13" x14ac:dyDescent="0.35">
      <c r="B122" s="3"/>
      <c r="C122" s="179" t="s">
        <v>197</v>
      </c>
      <c r="D122" s="179"/>
      <c r="E122" s="179"/>
      <c r="F122" s="179"/>
      <c r="G122" s="179"/>
      <c r="H122" s="179"/>
      <c r="I122" s="4"/>
      <c r="J122" s="149">
        <f>J120-J118</f>
        <v>0</v>
      </c>
    </row>
    <row r="123" spans="2:13" x14ac:dyDescent="0.35">
      <c r="B123" s="61"/>
      <c r="C123" s="61"/>
      <c r="D123" s="61"/>
      <c r="E123" s="61"/>
      <c r="F123" s="61"/>
      <c r="G123" s="61"/>
      <c r="H123" s="61"/>
      <c r="I123" s="61"/>
      <c r="J123" s="131"/>
    </row>
    <row r="124" spans="2:13" x14ac:dyDescent="0.35">
      <c r="B124" s="180" t="s">
        <v>198</v>
      </c>
      <c r="C124" s="180"/>
      <c r="D124" s="180"/>
      <c r="E124" s="180"/>
      <c r="F124" s="180"/>
      <c r="G124" s="180"/>
      <c r="H124" s="180"/>
      <c r="I124" s="180"/>
      <c r="J124" s="180"/>
    </row>
    <row r="125" spans="2:13" x14ac:dyDescent="0.35">
      <c r="B125" s="177" t="s">
        <v>199</v>
      </c>
      <c r="C125" s="177"/>
      <c r="D125" s="177"/>
      <c r="E125" s="177"/>
      <c r="F125" s="177"/>
      <c r="G125" s="177"/>
      <c r="H125" s="177"/>
      <c r="I125" s="177"/>
      <c r="J125" s="85" t="s">
        <v>156</v>
      </c>
    </row>
    <row r="126" spans="2:13" x14ac:dyDescent="0.35">
      <c r="B126" s="84" t="s">
        <v>135</v>
      </c>
      <c r="C126" s="176" t="s">
        <v>154</v>
      </c>
      <c r="D126" s="176"/>
      <c r="E126" s="176"/>
      <c r="F126" s="176"/>
      <c r="G126" s="176"/>
      <c r="H126" s="176"/>
      <c r="I126" s="176"/>
      <c r="J126" s="129">
        <f>J33</f>
        <v>0</v>
      </c>
    </row>
    <row r="127" spans="2:13" x14ac:dyDescent="0.35">
      <c r="B127" s="84" t="s">
        <v>137</v>
      </c>
      <c r="C127" s="176" t="s">
        <v>295</v>
      </c>
      <c r="D127" s="176"/>
      <c r="E127" s="176"/>
      <c r="F127" s="176"/>
      <c r="G127" s="176"/>
      <c r="H127" s="176"/>
      <c r="I127" s="176"/>
      <c r="J127" s="129">
        <f>J65</f>
        <v>0</v>
      </c>
    </row>
    <row r="128" spans="2:13" x14ac:dyDescent="0.35">
      <c r="B128" s="84" t="s">
        <v>139</v>
      </c>
      <c r="C128" s="176" t="s">
        <v>337</v>
      </c>
      <c r="D128" s="176"/>
      <c r="E128" s="176"/>
      <c r="F128" s="176"/>
      <c r="G128" s="176"/>
      <c r="H128" s="176"/>
      <c r="I128" s="176"/>
      <c r="J128" s="129">
        <f>J74</f>
        <v>0</v>
      </c>
    </row>
    <row r="129" spans="2:10" x14ac:dyDescent="0.35">
      <c r="B129" s="84" t="s">
        <v>141</v>
      </c>
      <c r="C129" s="176" t="s">
        <v>355</v>
      </c>
      <c r="D129" s="176"/>
      <c r="E129" s="176"/>
      <c r="F129" s="176"/>
      <c r="G129" s="176"/>
      <c r="H129" s="176"/>
      <c r="I129" s="176"/>
      <c r="J129" s="129">
        <f>J95</f>
        <v>0</v>
      </c>
    </row>
    <row r="130" spans="2:10" x14ac:dyDescent="0.35">
      <c r="B130" s="84" t="s">
        <v>163</v>
      </c>
      <c r="C130" s="176" t="s">
        <v>383</v>
      </c>
      <c r="D130" s="176"/>
      <c r="E130" s="176"/>
      <c r="F130" s="176"/>
      <c r="G130" s="176"/>
      <c r="H130" s="176"/>
      <c r="I130" s="176"/>
      <c r="J130" s="129">
        <f>J103</f>
        <v>0</v>
      </c>
    </row>
    <row r="131" spans="2:10" x14ac:dyDescent="0.35">
      <c r="B131" s="85"/>
      <c r="C131" s="177" t="s">
        <v>200</v>
      </c>
      <c r="D131" s="177"/>
      <c r="E131" s="177"/>
      <c r="F131" s="177"/>
      <c r="G131" s="177"/>
      <c r="H131" s="177"/>
      <c r="I131" s="177"/>
      <c r="J131" s="130">
        <f>SUM(J126:J130)</f>
        <v>0</v>
      </c>
    </row>
    <row r="132" spans="2:10" x14ac:dyDescent="0.35">
      <c r="B132" s="84" t="s">
        <v>165</v>
      </c>
      <c r="C132" s="176" t="s">
        <v>386</v>
      </c>
      <c r="D132" s="176"/>
      <c r="E132" s="176"/>
      <c r="F132" s="176"/>
      <c r="G132" s="176"/>
      <c r="H132" s="176"/>
      <c r="I132" s="176"/>
      <c r="J132" s="129">
        <f>J113</f>
        <v>0</v>
      </c>
    </row>
    <row r="133" spans="2:10" ht="18" x14ac:dyDescent="0.35">
      <c r="B133" s="178" t="s">
        <v>201</v>
      </c>
      <c r="C133" s="178"/>
      <c r="D133" s="178"/>
      <c r="E133" s="178"/>
      <c r="F133" s="178"/>
      <c r="G133" s="178"/>
      <c r="H133" s="178"/>
      <c r="I133" s="178"/>
      <c r="J133" s="150">
        <f>TRUNC(J131+J132,2)</f>
        <v>0</v>
      </c>
    </row>
    <row r="134" spans="2:10" x14ac:dyDescent="0.35">
      <c r="B134" s="5"/>
      <c r="C134" s="5"/>
      <c r="D134" s="5"/>
      <c r="E134" s="5"/>
      <c r="F134" s="5"/>
      <c r="G134" s="5"/>
      <c r="H134" s="5"/>
      <c r="I134" s="5"/>
      <c r="J134" s="151"/>
    </row>
    <row r="135" spans="2:10" x14ac:dyDescent="0.35">
      <c r="B135" s="5"/>
      <c r="C135" s="5"/>
      <c r="D135" s="5"/>
      <c r="E135" s="5"/>
      <c r="F135" s="5"/>
      <c r="G135" s="5"/>
      <c r="H135" s="5"/>
      <c r="I135" s="5"/>
      <c r="J135" s="5"/>
    </row>
    <row r="136" spans="2:10" x14ac:dyDescent="0.35">
      <c r="B136" s="9"/>
      <c r="C136" s="10"/>
      <c r="D136" s="5"/>
      <c r="E136" s="5"/>
      <c r="F136" s="5"/>
      <c r="G136" s="5"/>
      <c r="H136" s="5"/>
      <c r="I136" s="5"/>
      <c r="J136" s="5"/>
    </row>
    <row r="137" spans="2:10" x14ac:dyDescent="0.35">
      <c r="B137" s="6"/>
      <c r="C137" s="6"/>
      <c r="D137" s="7"/>
    </row>
    <row r="138" spans="2:10" x14ac:dyDescent="0.35">
      <c r="B138" s="8"/>
      <c r="C138" s="5"/>
      <c r="D138" s="5"/>
    </row>
    <row r="139" spans="2:10" x14ac:dyDescent="0.35">
      <c r="B139" s="8"/>
      <c r="C139" s="5"/>
      <c r="D139" s="5"/>
    </row>
  </sheetData>
  <mergeCells count="139">
    <mergeCell ref="B1:J1"/>
    <mergeCell ref="B2:J2"/>
    <mergeCell ref="B3:J3"/>
    <mergeCell ref="B4:J4"/>
    <mergeCell ref="B5:J5"/>
    <mergeCell ref="B6:J6"/>
    <mergeCell ref="C11:H11"/>
    <mergeCell ref="I11:J11"/>
    <mergeCell ref="C12:H12"/>
    <mergeCell ref="I12:J12"/>
    <mergeCell ref="B14:J14"/>
    <mergeCell ref="B15:C15"/>
    <mergeCell ref="D15:E15"/>
    <mergeCell ref="F15:J15"/>
    <mergeCell ref="B7:J7"/>
    <mergeCell ref="B8:J8"/>
    <mergeCell ref="C9:H9"/>
    <mergeCell ref="I9:J9"/>
    <mergeCell ref="C10:H10"/>
    <mergeCell ref="I10:J10"/>
    <mergeCell ref="C20:H20"/>
    <mergeCell ref="I20:J20"/>
    <mergeCell ref="C21:H21"/>
    <mergeCell ref="I21:J21"/>
    <mergeCell ref="C22:H22"/>
    <mergeCell ref="I22:J22"/>
    <mergeCell ref="B16:C16"/>
    <mergeCell ref="D16:E16"/>
    <mergeCell ref="F16:J16"/>
    <mergeCell ref="B18:J18"/>
    <mergeCell ref="C19:H19"/>
    <mergeCell ref="I19:J19"/>
    <mergeCell ref="C28:H28"/>
    <mergeCell ref="C29:H29"/>
    <mergeCell ref="C30:H30"/>
    <mergeCell ref="C31:H31"/>
    <mergeCell ref="C32:H32"/>
    <mergeCell ref="B33:I33"/>
    <mergeCell ref="C23:H23"/>
    <mergeCell ref="I23:J23"/>
    <mergeCell ref="B24:J24"/>
    <mergeCell ref="B25:J25"/>
    <mergeCell ref="C26:H26"/>
    <mergeCell ref="C27:H27"/>
    <mergeCell ref="B41:H41"/>
    <mergeCell ref="C42:H42"/>
    <mergeCell ref="C43:H43"/>
    <mergeCell ref="C44:H44"/>
    <mergeCell ref="C45:H45"/>
    <mergeCell ref="C46:H46"/>
    <mergeCell ref="B35:J35"/>
    <mergeCell ref="B36:H36"/>
    <mergeCell ref="C37:H37"/>
    <mergeCell ref="C38:H38"/>
    <mergeCell ref="B39:H39"/>
    <mergeCell ref="B40:J40"/>
    <mergeCell ref="C53:H53"/>
    <mergeCell ref="C54:H54"/>
    <mergeCell ref="C55:H55"/>
    <mergeCell ref="C56:H56"/>
    <mergeCell ref="C57:H57"/>
    <mergeCell ref="B58:I58"/>
    <mergeCell ref="C47:H47"/>
    <mergeCell ref="C48:H48"/>
    <mergeCell ref="C49:H49"/>
    <mergeCell ref="B50:H50"/>
    <mergeCell ref="B51:J51"/>
    <mergeCell ref="B52:H52"/>
    <mergeCell ref="B65:I65"/>
    <mergeCell ref="B66:J66"/>
    <mergeCell ref="B67:J67"/>
    <mergeCell ref="C68:H68"/>
    <mergeCell ref="C69:H69"/>
    <mergeCell ref="C70:H70"/>
    <mergeCell ref="B59:J59"/>
    <mergeCell ref="B60:J60"/>
    <mergeCell ref="B61:I61"/>
    <mergeCell ref="C62:I62"/>
    <mergeCell ref="C63:I63"/>
    <mergeCell ref="C64:I64"/>
    <mergeCell ref="B77:J77"/>
    <mergeCell ref="B78:H78"/>
    <mergeCell ref="C79:H79"/>
    <mergeCell ref="C80:H80"/>
    <mergeCell ref="C81:H81"/>
    <mergeCell ref="C82:H82"/>
    <mergeCell ref="C71:H71"/>
    <mergeCell ref="C72:H72"/>
    <mergeCell ref="C73:H73"/>
    <mergeCell ref="B74:H74"/>
    <mergeCell ref="C75:J75"/>
    <mergeCell ref="B76:J76"/>
    <mergeCell ref="B89:H89"/>
    <mergeCell ref="B90:J90"/>
    <mergeCell ref="B91:J91"/>
    <mergeCell ref="B92:I92"/>
    <mergeCell ref="C93:I93"/>
    <mergeCell ref="C94:I94"/>
    <mergeCell ref="C83:H83"/>
    <mergeCell ref="C84:H84"/>
    <mergeCell ref="B85:H85"/>
    <mergeCell ref="B86:J86"/>
    <mergeCell ref="B87:H87"/>
    <mergeCell ref="C88:H88"/>
    <mergeCell ref="C101:H101"/>
    <mergeCell ref="C102:H102"/>
    <mergeCell ref="B103:H103"/>
    <mergeCell ref="B104:J104"/>
    <mergeCell ref="B105:J105"/>
    <mergeCell ref="C106:H106"/>
    <mergeCell ref="B95:I95"/>
    <mergeCell ref="B96:J96"/>
    <mergeCell ref="B97:J97"/>
    <mergeCell ref="C98:H98"/>
    <mergeCell ref="C99:H99"/>
    <mergeCell ref="C100:H100"/>
    <mergeCell ref="B113:H113"/>
    <mergeCell ref="C114:J114"/>
    <mergeCell ref="C115:H115"/>
    <mergeCell ref="C116:H116"/>
    <mergeCell ref="C118:H118"/>
    <mergeCell ref="C120:H120"/>
    <mergeCell ref="C107:H107"/>
    <mergeCell ref="C108:H108"/>
    <mergeCell ref="C109:H109"/>
    <mergeCell ref="C110:H110"/>
    <mergeCell ref="C111:H111"/>
    <mergeCell ref="C112:H112"/>
    <mergeCell ref="C129:I129"/>
    <mergeCell ref="C130:I130"/>
    <mergeCell ref="C131:I131"/>
    <mergeCell ref="C132:I132"/>
    <mergeCell ref="B133:I133"/>
    <mergeCell ref="C122:H122"/>
    <mergeCell ref="B124:J124"/>
    <mergeCell ref="B125:I125"/>
    <mergeCell ref="C126:I126"/>
    <mergeCell ref="C127:I127"/>
    <mergeCell ref="C128:I128"/>
  </mergeCells>
  <pageMargins left="0.51181102362204722" right="0.51181102362204722" top="0.78740157480314965" bottom="0.78740157480314965" header="0.31496062992125984" footer="0.31496062992125984"/>
  <pageSetup paperSize="9" scale="64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63289-2960-4EA8-B6A2-4DBD5E4F9B2F}">
  <sheetPr>
    <pageSetUpPr fitToPage="1"/>
  </sheetPr>
  <dimension ref="B1:M139"/>
  <sheetViews>
    <sheetView showGridLines="0" topLeftCell="A17" zoomScale="80" zoomScaleNormal="80" workbookViewId="0">
      <selection activeCell="I21" sqref="I21:J21"/>
    </sheetView>
  </sheetViews>
  <sheetFormatPr defaultColWidth="8.81640625" defaultRowHeight="14.5" x14ac:dyDescent="0.35"/>
  <cols>
    <col min="1" max="1" width="3.453125" customWidth="1"/>
    <col min="2" max="2" width="10.453125" customWidth="1"/>
    <col min="3" max="3" width="49.54296875" bestFit="1" customWidth="1"/>
    <col min="8" max="8" width="9" bestFit="1" customWidth="1"/>
    <col min="9" max="9" width="12.26953125" bestFit="1" customWidth="1"/>
    <col min="10" max="10" width="25.453125" customWidth="1"/>
    <col min="11" max="11" width="11.81640625" bestFit="1" customWidth="1"/>
    <col min="12" max="12" width="25.81640625" style="13" customWidth="1"/>
    <col min="13" max="13" width="63.453125" style="13" customWidth="1"/>
  </cols>
  <sheetData>
    <row r="1" spans="2:10" x14ac:dyDescent="0.35">
      <c r="B1" s="212"/>
      <c r="C1" s="212"/>
      <c r="D1" s="212"/>
      <c r="E1" s="212"/>
      <c r="F1" s="212"/>
      <c r="G1" s="212"/>
      <c r="H1" s="212"/>
      <c r="I1" s="212"/>
      <c r="J1" s="212"/>
    </row>
    <row r="2" spans="2:10" x14ac:dyDescent="0.35">
      <c r="B2" s="213" t="s">
        <v>132</v>
      </c>
      <c r="C2" s="213"/>
      <c r="D2" s="213"/>
      <c r="E2" s="213"/>
      <c r="F2" s="213"/>
      <c r="G2" s="213"/>
      <c r="H2" s="213"/>
      <c r="I2" s="213"/>
      <c r="J2" s="213"/>
    </row>
    <row r="3" spans="2:10" x14ac:dyDescent="0.35">
      <c r="B3" s="213" t="s">
        <v>133</v>
      </c>
      <c r="C3" s="213"/>
      <c r="D3" s="213"/>
      <c r="E3" s="213"/>
      <c r="F3" s="213"/>
      <c r="G3" s="213"/>
      <c r="H3" s="213"/>
      <c r="I3" s="213"/>
      <c r="J3" s="213"/>
    </row>
    <row r="4" spans="2:10" x14ac:dyDescent="0.35">
      <c r="B4" s="214" t="s">
        <v>291</v>
      </c>
      <c r="C4" s="214"/>
      <c r="D4" s="214"/>
      <c r="E4" s="214"/>
      <c r="F4" s="214"/>
      <c r="G4" s="214"/>
      <c r="H4" s="214"/>
      <c r="I4" s="214"/>
      <c r="J4" s="214"/>
    </row>
    <row r="5" spans="2:10" x14ac:dyDescent="0.35">
      <c r="B5" s="208"/>
      <c r="C5" s="208"/>
      <c r="D5" s="208"/>
      <c r="E5" s="208"/>
      <c r="F5" s="208"/>
      <c r="G5" s="208"/>
      <c r="H5" s="208"/>
      <c r="I5" s="208"/>
      <c r="J5" s="208"/>
    </row>
    <row r="6" spans="2:10" x14ac:dyDescent="0.35">
      <c r="B6" s="215" t="str">
        <f>"Categoria profissional: "&amp;I22</f>
        <v>Categoria profissional: Motorista de Veículo Executivo</v>
      </c>
      <c r="C6" s="215"/>
      <c r="D6" s="215"/>
      <c r="E6" s="215"/>
      <c r="F6" s="215"/>
      <c r="G6" s="215"/>
      <c r="H6" s="215"/>
      <c r="I6" s="215"/>
      <c r="J6" s="215"/>
    </row>
    <row r="7" spans="2:10" x14ac:dyDescent="0.35">
      <c r="B7" s="211"/>
      <c r="C7" s="211"/>
      <c r="D7" s="211"/>
      <c r="E7" s="211"/>
      <c r="F7" s="211"/>
      <c r="G7" s="211"/>
      <c r="H7" s="211"/>
      <c r="I7" s="211"/>
      <c r="J7" s="211"/>
    </row>
    <row r="8" spans="2:10" x14ac:dyDescent="0.35">
      <c r="B8" s="180" t="s">
        <v>134</v>
      </c>
      <c r="C8" s="180"/>
      <c r="D8" s="180"/>
      <c r="E8" s="180"/>
      <c r="F8" s="180"/>
      <c r="G8" s="180"/>
      <c r="H8" s="180"/>
      <c r="I8" s="180"/>
      <c r="J8" s="180"/>
    </row>
    <row r="9" spans="2:10" x14ac:dyDescent="0.35">
      <c r="B9" s="84" t="s">
        <v>135</v>
      </c>
      <c r="C9" s="176" t="s">
        <v>136</v>
      </c>
      <c r="D9" s="176"/>
      <c r="E9" s="176"/>
      <c r="F9" s="176"/>
      <c r="G9" s="176"/>
      <c r="H9" s="176"/>
      <c r="I9" s="206"/>
      <c r="J9" s="207"/>
    </row>
    <row r="10" spans="2:10" x14ac:dyDescent="0.35">
      <c r="B10" s="84" t="s">
        <v>137</v>
      </c>
      <c r="C10" s="176" t="s">
        <v>138</v>
      </c>
      <c r="D10" s="176"/>
      <c r="E10" s="176"/>
      <c r="F10" s="176"/>
      <c r="G10" s="176"/>
      <c r="H10" s="176"/>
      <c r="I10" s="207" t="s">
        <v>249</v>
      </c>
      <c r="J10" s="207"/>
    </row>
    <row r="11" spans="2:10" ht="44.5" customHeight="1" x14ac:dyDescent="0.35">
      <c r="B11" s="84" t="s">
        <v>139</v>
      </c>
      <c r="C11" s="176" t="s">
        <v>140</v>
      </c>
      <c r="D11" s="176"/>
      <c r="E11" s="176"/>
      <c r="F11" s="176"/>
      <c r="G11" s="176"/>
      <c r="H11" s="176"/>
      <c r="I11" s="210" t="s">
        <v>250</v>
      </c>
      <c r="J11" s="207"/>
    </row>
    <row r="12" spans="2:10" x14ac:dyDescent="0.35">
      <c r="B12" s="84" t="s">
        <v>141</v>
      </c>
      <c r="C12" s="176" t="s">
        <v>142</v>
      </c>
      <c r="D12" s="176"/>
      <c r="E12" s="176"/>
      <c r="F12" s="176"/>
      <c r="G12" s="176"/>
      <c r="H12" s="176"/>
      <c r="I12" s="207">
        <v>36</v>
      </c>
      <c r="J12" s="207"/>
    </row>
    <row r="13" spans="2:10" x14ac:dyDescent="0.35">
      <c r="B13" s="61"/>
      <c r="C13" s="59"/>
      <c r="D13" s="59"/>
      <c r="E13" s="59"/>
      <c r="F13" s="59"/>
      <c r="G13" s="59"/>
      <c r="H13" s="59"/>
      <c r="I13" s="61"/>
      <c r="J13" s="61"/>
    </row>
    <row r="14" spans="2:10" x14ac:dyDescent="0.35">
      <c r="B14" s="180" t="s">
        <v>143</v>
      </c>
      <c r="C14" s="180"/>
      <c r="D14" s="180"/>
      <c r="E14" s="180"/>
      <c r="F14" s="180"/>
      <c r="G14" s="180"/>
      <c r="H14" s="180"/>
      <c r="I14" s="180"/>
      <c r="J14" s="180"/>
    </row>
    <row r="15" spans="2:10" x14ac:dyDescent="0.35">
      <c r="B15" s="207" t="s">
        <v>144</v>
      </c>
      <c r="C15" s="207"/>
      <c r="D15" s="207" t="s">
        <v>145</v>
      </c>
      <c r="E15" s="207"/>
      <c r="F15" s="207" t="s">
        <v>146</v>
      </c>
      <c r="G15" s="207"/>
      <c r="H15" s="207"/>
      <c r="I15" s="207"/>
      <c r="J15" s="207"/>
    </row>
    <row r="16" spans="2:10" x14ac:dyDescent="0.35">
      <c r="B16" s="207" t="str">
        <f>I22</f>
        <v>Motorista de Veículo Executivo</v>
      </c>
      <c r="C16" s="207"/>
      <c r="D16" s="207" t="s">
        <v>147</v>
      </c>
      <c r="E16" s="207"/>
      <c r="F16" s="207">
        <v>2</v>
      </c>
      <c r="G16" s="207"/>
      <c r="H16" s="207"/>
      <c r="I16" s="207"/>
      <c r="J16" s="207"/>
    </row>
    <row r="17" spans="2:13" x14ac:dyDescent="0.35">
      <c r="B17" s="61"/>
      <c r="C17" s="59"/>
      <c r="D17" s="59"/>
      <c r="E17" s="59"/>
      <c r="F17" s="59"/>
      <c r="G17" s="59"/>
      <c r="H17" s="59"/>
      <c r="I17" s="61"/>
      <c r="J17" s="61"/>
    </row>
    <row r="18" spans="2:13" x14ac:dyDescent="0.35">
      <c r="B18" s="180" t="s">
        <v>148</v>
      </c>
      <c r="C18" s="180"/>
      <c r="D18" s="180"/>
      <c r="E18" s="180"/>
      <c r="F18" s="180"/>
      <c r="G18" s="180"/>
      <c r="H18" s="180"/>
      <c r="I18" s="180"/>
      <c r="J18" s="180"/>
    </row>
    <row r="19" spans="2:13" x14ac:dyDescent="0.35">
      <c r="B19" s="84">
        <v>1</v>
      </c>
      <c r="C19" s="176" t="s">
        <v>149</v>
      </c>
      <c r="D19" s="176"/>
      <c r="E19" s="176"/>
      <c r="F19" s="176"/>
      <c r="G19" s="176"/>
      <c r="H19" s="176"/>
      <c r="I19" s="207" t="s">
        <v>251</v>
      </c>
      <c r="J19" s="207"/>
    </row>
    <row r="20" spans="2:13" x14ac:dyDescent="0.35">
      <c r="B20" s="84">
        <v>2</v>
      </c>
      <c r="C20" s="176" t="s">
        <v>150</v>
      </c>
      <c r="D20" s="176"/>
      <c r="E20" s="176"/>
      <c r="F20" s="176"/>
      <c r="G20" s="176"/>
      <c r="H20" s="176"/>
      <c r="I20" s="207" t="s">
        <v>252</v>
      </c>
      <c r="J20" s="207"/>
    </row>
    <row r="21" spans="2:13" x14ac:dyDescent="0.35">
      <c r="B21" s="84">
        <v>3</v>
      </c>
      <c r="C21" s="176" t="s">
        <v>151</v>
      </c>
      <c r="D21" s="176"/>
      <c r="E21" s="176"/>
      <c r="F21" s="176"/>
      <c r="G21" s="176"/>
      <c r="H21" s="176"/>
      <c r="I21" s="209">
        <v>3532</v>
      </c>
      <c r="J21" s="207"/>
    </row>
    <row r="22" spans="2:13" x14ac:dyDescent="0.35">
      <c r="B22" s="84">
        <v>4</v>
      </c>
      <c r="C22" s="176" t="s">
        <v>152</v>
      </c>
      <c r="D22" s="176"/>
      <c r="E22" s="176"/>
      <c r="F22" s="176"/>
      <c r="G22" s="176"/>
      <c r="H22" s="176"/>
      <c r="I22" s="177" t="s">
        <v>253</v>
      </c>
      <c r="J22" s="177"/>
    </row>
    <row r="23" spans="2:13" x14ac:dyDescent="0.35">
      <c r="B23" s="84">
        <v>5</v>
      </c>
      <c r="C23" s="176" t="s">
        <v>153</v>
      </c>
      <c r="D23" s="176"/>
      <c r="E23" s="176"/>
      <c r="F23" s="176"/>
      <c r="G23" s="176"/>
      <c r="H23" s="176"/>
      <c r="I23" s="206">
        <v>45658</v>
      </c>
      <c r="J23" s="207"/>
    </row>
    <row r="24" spans="2:13" x14ac:dyDescent="0.35">
      <c r="B24" s="208"/>
      <c r="C24" s="208"/>
      <c r="D24" s="208"/>
      <c r="E24" s="208"/>
      <c r="F24" s="208"/>
      <c r="G24" s="208"/>
      <c r="H24" s="208"/>
      <c r="I24" s="208"/>
      <c r="J24" s="208"/>
    </row>
    <row r="25" spans="2:13" x14ac:dyDescent="0.35">
      <c r="B25" s="188" t="s">
        <v>154</v>
      </c>
      <c r="C25" s="188"/>
      <c r="D25" s="188"/>
      <c r="E25" s="188"/>
      <c r="F25" s="188"/>
      <c r="G25" s="188"/>
      <c r="H25" s="188"/>
      <c r="I25" s="188"/>
      <c r="J25" s="188"/>
    </row>
    <row r="26" spans="2:13" x14ac:dyDescent="0.35">
      <c r="B26" s="85">
        <v>1</v>
      </c>
      <c r="C26" s="177" t="s">
        <v>292</v>
      </c>
      <c r="D26" s="177"/>
      <c r="E26" s="177"/>
      <c r="F26" s="177"/>
      <c r="G26" s="177"/>
      <c r="H26" s="177"/>
      <c r="I26" s="85" t="s">
        <v>155</v>
      </c>
      <c r="J26" s="85" t="s">
        <v>156</v>
      </c>
      <c r="L26" s="76" t="s">
        <v>157</v>
      </c>
      <c r="M26" s="76" t="s">
        <v>158</v>
      </c>
    </row>
    <row r="27" spans="2:13" x14ac:dyDescent="0.35">
      <c r="B27" s="85" t="s">
        <v>135</v>
      </c>
      <c r="C27" s="176" t="s">
        <v>159</v>
      </c>
      <c r="D27" s="176"/>
      <c r="E27" s="176"/>
      <c r="F27" s="176"/>
      <c r="G27" s="176"/>
      <c r="H27" s="176"/>
      <c r="I27" s="129">
        <f>'Motorista Executivo'!I27</f>
        <v>0</v>
      </c>
      <c r="J27" s="129">
        <f>'Motorista Executivo'!J27</f>
        <v>0</v>
      </c>
      <c r="L27" s="87"/>
      <c r="M27" s="88" t="s">
        <v>293</v>
      </c>
    </row>
    <row r="28" spans="2:13" x14ac:dyDescent="0.35">
      <c r="B28" s="85" t="s">
        <v>137</v>
      </c>
      <c r="C28" s="176" t="s">
        <v>160</v>
      </c>
      <c r="D28" s="176"/>
      <c r="E28" s="176"/>
      <c r="F28" s="176"/>
      <c r="G28" s="176"/>
      <c r="H28" s="176"/>
      <c r="I28" s="129">
        <f>'Motorista Executivo'!I28</f>
        <v>0</v>
      </c>
      <c r="J28" s="129">
        <f>'Motorista Executivo'!J28</f>
        <v>0</v>
      </c>
      <c r="L28" s="87"/>
      <c r="M28" s="88" t="s">
        <v>294</v>
      </c>
    </row>
    <row r="29" spans="2:13" x14ac:dyDescent="0.35">
      <c r="B29" s="85" t="s">
        <v>139</v>
      </c>
      <c r="C29" s="176" t="s">
        <v>161</v>
      </c>
      <c r="D29" s="176"/>
      <c r="E29" s="176"/>
      <c r="F29" s="176"/>
      <c r="G29" s="176"/>
      <c r="H29" s="176"/>
      <c r="I29" s="129">
        <f>'Motorista Executivo'!I29</f>
        <v>0</v>
      </c>
      <c r="J29" s="129">
        <f>'Motorista Executivo'!J29</f>
        <v>0</v>
      </c>
    </row>
    <row r="30" spans="2:13" x14ac:dyDescent="0.35">
      <c r="B30" s="85" t="s">
        <v>141</v>
      </c>
      <c r="C30" s="176" t="s">
        <v>162</v>
      </c>
      <c r="D30" s="176"/>
      <c r="E30" s="176"/>
      <c r="F30" s="176"/>
      <c r="G30" s="176"/>
      <c r="H30" s="176"/>
      <c r="I30" s="129">
        <f>'Motorista Executivo'!I30</f>
        <v>0</v>
      </c>
      <c r="J30" s="129">
        <f>'Motorista Executivo'!J30</f>
        <v>0</v>
      </c>
      <c r="K30" s="13"/>
    </row>
    <row r="31" spans="2:13" x14ac:dyDescent="0.35">
      <c r="B31" s="85" t="s">
        <v>163</v>
      </c>
      <c r="C31" s="176" t="s">
        <v>164</v>
      </c>
      <c r="D31" s="176"/>
      <c r="E31" s="176"/>
      <c r="F31" s="176"/>
      <c r="G31" s="176"/>
      <c r="H31" s="176"/>
      <c r="I31" s="129">
        <f>'Motorista Executivo'!I31</f>
        <v>0</v>
      </c>
      <c r="J31" s="129">
        <f>'Motorista Executivo'!J31</f>
        <v>0</v>
      </c>
    </row>
    <row r="32" spans="2:13" x14ac:dyDescent="0.35">
      <c r="B32" s="85" t="s">
        <v>165</v>
      </c>
      <c r="C32" s="176" t="s">
        <v>255</v>
      </c>
      <c r="D32" s="176"/>
      <c r="E32" s="176"/>
      <c r="F32" s="176"/>
      <c r="G32" s="176"/>
      <c r="H32" s="176"/>
      <c r="I32" s="129">
        <f>'Motorista Executivo'!I32</f>
        <v>0</v>
      </c>
      <c r="J32" s="129">
        <f>J27/220</f>
        <v>0</v>
      </c>
    </row>
    <row r="33" spans="2:13" x14ac:dyDescent="0.35">
      <c r="B33" s="177" t="s">
        <v>167</v>
      </c>
      <c r="C33" s="177"/>
      <c r="D33" s="177"/>
      <c r="E33" s="177"/>
      <c r="F33" s="177"/>
      <c r="G33" s="177"/>
      <c r="H33" s="177"/>
      <c r="I33" s="177"/>
      <c r="J33" s="130">
        <f>SUM(J27:J32)</f>
        <v>0</v>
      </c>
    </row>
    <row r="34" spans="2:13" x14ac:dyDescent="0.35">
      <c r="B34" s="110"/>
      <c r="C34" s="110"/>
      <c r="D34" s="110"/>
      <c r="E34" s="110"/>
      <c r="F34" s="110"/>
      <c r="G34" s="110"/>
      <c r="H34" s="110"/>
      <c r="I34" s="110"/>
      <c r="J34" s="131"/>
    </row>
    <row r="35" spans="2:13" x14ac:dyDescent="0.35">
      <c r="B35" s="188" t="s">
        <v>295</v>
      </c>
      <c r="C35" s="188"/>
      <c r="D35" s="188"/>
      <c r="E35" s="188"/>
      <c r="F35" s="188"/>
      <c r="G35" s="188"/>
      <c r="H35" s="188"/>
      <c r="I35" s="188"/>
      <c r="J35" s="188"/>
    </row>
    <row r="36" spans="2:13" x14ac:dyDescent="0.35">
      <c r="B36" s="203" t="s">
        <v>296</v>
      </c>
      <c r="C36" s="203"/>
      <c r="D36" s="203"/>
      <c r="E36" s="203"/>
      <c r="F36" s="203"/>
      <c r="G36" s="203"/>
      <c r="H36" s="203"/>
      <c r="I36" s="132" t="s">
        <v>155</v>
      </c>
      <c r="J36" s="132" t="s">
        <v>156</v>
      </c>
      <c r="L36" s="76" t="s">
        <v>157</v>
      </c>
      <c r="M36" s="76" t="s">
        <v>158</v>
      </c>
    </row>
    <row r="37" spans="2:13" ht="25.5" customHeight="1" x14ac:dyDescent="0.35">
      <c r="B37" s="85" t="s">
        <v>135</v>
      </c>
      <c r="C37" s="176" t="s">
        <v>297</v>
      </c>
      <c r="D37" s="176"/>
      <c r="E37" s="176"/>
      <c r="F37" s="176"/>
      <c r="G37" s="176"/>
      <c r="H37" s="176"/>
      <c r="I37" s="152">
        <f>'Motorista Executivo'!I37</f>
        <v>8.3299999999999999E-2</v>
      </c>
      <c r="J37" s="129">
        <f>TRUNC($J$33*I37,2)</f>
        <v>0</v>
      </c>
      <c r="K37" s="11"/>
      <c r="L37" s="87"/>
      <c r="M37" s="133" t="s">
        <v>298</v>
      </c>
    </row>
    <row r="38" spans="2:13" ht="25.5" customHeight="1" x14ac:dyDescent="0.35">
      <c r="B38" s="85" t="s">
        <v>137</v>
      </c>
      <c r="C38" s="176" t="s">
        <v>299</v>
      </c>
      <c r="D38" s="176"/>
      <c r="E38" s="176"/>
      <c r="F38" s="176"/>
      <c r="G38" s="176"/>
      <c r="H38" s="176"/>
      <c r="I38" s="152">
        <f>'Motorista Executivo'!I38</f>
        <v>0.121</v>
      </c>
      <c r="J38" s="129">
        <f>TRUNC($J$33*I38,2)</f>
        <v>0</v>
      </c>
      <c r="K38" s="11"/>
      <c r="L38" s="134" t="s">
        <v>300</v>
      </c>
      <c r="M38" s="133" t="s">
        <v>301</v>
      </c>
    </row>
    <row r="39" spans="2:13" x14ac:dyDescent="0.35">
      <c r="B39" s="177" t="s">
        <v>302</v>
      </c>
      <c r="C39" s="177"/>
      <c r="D39" s="177"/>
      <c r="E39" s="177"/>
      <c r="F39" s="177"/>
      <c r="G39" s="177"/>
      <c r="H39" s="177"/>
      <c r="I39" s="92">
        <f>SUM(I37:I38)</f>
        <v>0.20429999999999998</v>
      </c>
      <c r="J39" s="130">
        <f>SUM(J37:J38)</f>
        <v>0</v>
      </c>
      <c r="K39" s="12"/>
    </row>
    <row r="40" spans="2:13" x14ac:dyDescent="0.35">
      <c r="B40" s="204"/>
      <c r="C40" s="205"/>
      <c r="D40" s="205"/>
      <c r="E40" s="205"/>
      <c r="F40" s="205"/>
      <c r="G40" s="205"/>
      <c r="H40" s="205"/>
      <c r="I40" s="205"/>
      <c r="J40" s="205"/>
    </row>
    <row r="41" spans="2:13" x14ac:dyDescent="0.35">
      <c r="B41" s="203" t="s">
        <v>303</v>
      </c>
      <c r="C41" s="203"/>
      <c r="D41" s="203"/>
      <c r="E41" s="203"/>
      <c r="F41" s="203"/>
      <c r="G41" s="203"/>
      <c r="H41" s="203"/>
      <c r="I41" s="132" t="s">
        <v>155</v>
      </c>
      <c r="J41" s="132" t="s">
        <v>156</v>
      </c>
      <c r="L41" s="76" t="s">
        <v>157</v>
      </c>
      <c r="M41" s="76" t="s">
        <v>158</v>
      </c>
    </row>
    <row r="42" spans="2:13" x14ac:dyDescent="0.35">
      <c r="B42" s="85" t="s">
        <v>135</v>
      </c>
      <c r="C42" s="176" t="s">
        <v>304</v>
      </c>
      <c r="D42" s="176"/>
      <c r="E42" s="176"/>
      <c r="F42" s="176"/>
      <c r="G42" s="176"/>
      <c r="H42" s="176"/>
      <c r="I42" s="152">
        <f>'Motorista Executivo'!I42</f>
        <v>0.2</v>
      </c>
      <c r="J42" s="129">
        <f>TRUNC(($J$33+$J$39)*$I$42,2)</f>
        <v>0</v>
      </c>
      <c r="L42" s="87"/>
      <c r="M42" s="135" t="s">
        <v>305</v>
      </c>
    </row>
    <row r="43" spans="2:13" x14ac:dyDescent="0.35">
      <c r="B43" s="85" t="s">
        <v>137</v>
      </c>
      <c r="C43" s="176" t="s">
        <v>306</v>
      </c>
      <c r="D43" s="176"/>
      <c r="E43" s="176"/>
      <c r="F43" s="176"/>
      <c r="G43" s="176"/>
      <c r="H43" s="176"/>
      <c r="I43" s="152">
        <f>'Motorista Executivo'!I43</f>
        <v>2.5000000000000001E-2</v>
      </c>
      <c r="J43" s="129">
        <f>TRUNC(($J$33+$J$39)*$I$43,2)</f>
        <v>0</v>
      </c>
      <c r="L43" s="87"/>
      <c r="M43" s="135" t="s">
        <v>307</v>
      </c>
    </row>
    <row r="44" spans="2:13" x14ac:dyDescent="0.35">
      <c r="B44" s="85" t="s">
        <v>139</v>
      </c>
      <c r="C44" s="176" t="s">
        <v>308</v>
      </c>
      <c r="D44" s="176"/>
      <c r="E44" s="176"/>
      <c r="F44" s="176"/>
      <c r="G44" s="176"/>
      <c r="H44" s="176"/>
      <c r="I44" s="152">
        <f>'Motorista Executivo'!I44</f>
        <v>0.03</v>
      </c>
      <c r="J44" s="129">
        <f>TRUNC(($J$33+$J$39)*$I$44,2)</f>
        <v>0</v>
      </c>
      <c r="L44" s="134" t="s">
        <v>309</v>
      </c>
      <c r="M44" s="135" t="s">
        <v>310</v>
      </c>
    </row>
    <row r="45" spans="2:13" x14ac:dyDescent="0.35">
      <c r="B45" s="85" t="s">
        <v>141</v>
      </c>
      <c r="C45" s="176" t="s">
        <v>311</v>
      </c>
      <c r="D45" s="176"/>
      <c r="E45" s="176"/>
      <c r="F45" s="176"/>
      <c r="G45" s="176"/>
      <c r="H45" s="176"/>
      <c r="I45" s="152">
        <f>'Motorista Executivo'!I45</f>
        <v>1.4999999999999999E-2</v>
      </c>
      <c r="J45" s="129">
        <f>TRUNC(($J$33+$J$39)*$I$45,2)</f>
        <v>0</v>
      </c>
      <c r="L45" s="87"/>
      <c r="M45" s="135" t="s">
        <v>312</v>
      </c>
    </row>
    <row r="46" spans="2:13" x14ac:dyDescent="0.35">
      <c r="B46" s="85" t="s">
        <v>163</v>
      </c>
      <c r="C46" s="176" t="s">
        <v>313</v>
      </c>
      <c r="D46" s="176"/>
      <c r="E46" s="176"/>
      <c r="F46" s="176"/>
      <c r="G46" s="176"/>
      <c r="H46" s="176"/>
      <c r="I46" s="152">
        <f>'Motorista Executivo'!I46</f>
        <v>0.01</v>
      </c>
      <c r="J46" s="129">
        <f>TRUNC(($J$33+$J$39)*$I$46,2)</f>
        <v>0</v>
      </c>
      <c r="L46" s="87"/>
      <c r="M46" s="135" t="s">
        <v>314</v>
      </c>
    </row>
    <row r="47" spans="2:13" x14ac:dyDescent="0.35">
      <c r="B47" s="85" t="s">
        <v>165</v>
      </c>
      <c r="C47" s="176" t="s">
        <v>315</v>
      </c>
      <c r="D47" s="176"/>
      <c r="E47" s="176"/>
      <c r="F47" s="176"/>
      <c r="G47" s="176"/>
      <c r="H47" s="176"/>
      <c r="I47" s="152">
        <f>'Motorista Executivo'!I47</f>
        <v>6.0000000000000001E-3</v>
      </c>
      <c r="J47" s="129">
        <f>TRUNC(($J$33+$J$39)*$I$47,2)</f>
        <v>0</v>
      </c>
      <c r="L47" s="87"/>
      <c r="M47" s="136" t="s">
        <v>316</v>
      </c>
    </row>
    <row r="48" spans="2:13" x14ac:dyDescent="0.35">
      <c r="B48" s="85" t="s">
        <v>168</v>
      </c>
      <c r="C48" s="176" t="s">
        <v>317</v>
      </c>
      <c r="D48" s="176"/>
      <c r="E48" s="176"/>
      <c r="F48" s="176"/>
      <c r="G48" s="176"/>
      <c r="H48" s="176"/>
      <c r="I48" s="152">
        <f>'Motorista Executivo'!I48</f>
        <v>2E-3</v>
      </c>
      <c r="J48" s="129">
        <f>TRUNC(($J$33+$J$39)*$I$48,2)</f>
        <v>0</v>
      </c>
      <c r="L48" s="87"/>
      <c r="M48" s="135" t="s">
        <v>314</v>
      </c>
    </row>
    <row r="49" spans="2:13" x14ac:dyDescent="0.35">
      <c r="B49" s="85" t="s">
        <v>169</v>
      </c>
      <c r="C49" s="176" t="s">
        <v>318</v>
      </c>
      <c r="D49" s="176"/>
      <c r="E49" s="176"/>
      <c r="F49" s="176"/>
      <c r="G49" s="176"/>
      <c r="H49" s="176"/>
      <c r="I49" s="152">
        <f>'Motorista Executivo'!I49</f>
        <v>0.08</v>
      </c>
      <c r="J49" s="129">
        <f>TRUNC(($J$33+$J$39)*$I$49,2)</f>
        <v>0</v>
      </c>
      <c r="L49" s="87"/>
      <c r="M49" s="135" t="s">
        <v>319</v>
      </c>
    </row>
    <row r="50" spans="2:13" x14ac:dyDescent="0.35">
      <c r="B50" s="177" t="s">
        <v>320</v>
      </c>
      <c r="C50" s="177"/>
      <c r="D50" s="177"/>
      <c r="E50" s="177"/>
      <c r="F50" s="177"/>
      <c r="G50" s="177"/>
      <c r="H50" s="177"/>
      <c r="I50" s="92">
        <f>SUM(I42:I49)</f>
        <v>0.36800000000000005</v>
      </c>
      <c r="J50" s="130">
        <f>SUM(J42:J49)</f>
        <v>0</v>
      </c>
    </row>
    <row r="51" spans="2:13" x14ac:dyDescent="0.35">
      <c r="B51" s="198"/>
      <c r="C51" s="198"/>
      <c r="D51" s="198"/>
      <c r="E51" s="198"/>
      <c r="F51" s="198"/>
      <c r="G51" s="198"/>
      <c r="H51" s="198"/>
      <c r="I51" s="198"/>
      <c r="J51" s="199"/>
    </row>
    <row r="52" spans="2:13" x14ac:dyDescent="0.35">
      <c r="B52" s="203" t="s">
        <v>321</v>
      </c>
      <c r="C52" s="203"/>
      <c r="D52" s="203"/>
      <c r="E52" s="203"/>
      <c r="F52" s="203"/>
      <c r="G52" s="203"/>
      <c r="H52" s="203"/>
      <c r="I52" s="138"/>
      <c r="J52" s="132" t="s">
        <v>156</v>
      </c>
      <c r="L52" s="76" t="s">
        <v>157</v>
      </c>
      <c r="M52" s="76" t="s">
        <v>158</v>
      </c>
    </row>
    <row r="53" spans="2:13" ht="25.5" customHeight="1" x14ac:dyDescent="0.35">
      <c r="B53" s="85" t="s">
        <v>135</v>
      </c>
      <c r="C53" s="176" t="s">
        <v>254</v>
      </c>
      <c r="D53" s="176"/>
      <c r="E53" s="176"/>
      <c r="F53" s="176"/>
      <c r="G53" s="176"/>
      <c r="H53" s="176"/>
      <c r="I53" s="152" t="str">
        <f>'Motorista Executivo'!I53</f>
        <v>-</v>
      </c>
      <c r="J53" s="129">
        <f>'Motorista Executivo'!J53</f>
        <v>0</v>
      </c>
      <c r="L53" s="77" t="s">
        <v>170</v>
      </c>
      <c r="M53" s="77" t="s">
        <v>171</v>
      </c>
    </row>
    <row r="54" spans="2:13" x14ac:dyDescent="0.35">
      <c r="B54" s="85" t="s">
        <v>137</v>
      </c>
      <c r="C54" s="176" t="s">
        <v>389</v>
      </c>
      <c r="D54" s="176"/>
      <c r="E54" s="176"/>
      <c r="F54" s="176"/>
      <c r="G54" s="176"/>
      <c r="H54" s="176"/>
      <c r="I54" s="152" t="str">
        <f>'Motorista Executivo'!I54</f>
        <v>-</v>
      </c>
      <c r="J54" s="129">
        <f>'Motorista Executivo'!J54</f>
        <v>0</v>
      </c>
      <c r="L54" s="88" t="s">
        <v>202</v>
      </c>
      <c r="M54" s="88" t="s">
        <v>322</v>
      </c>
    </row>
    <row r="55" spans="2:13" x14ac:dyDescent="0.35">
      <c r="B55" s="85" t="s">
        <v>139</v>
      </c>
      <c r="C55" s="200" t="s">
        <v>323</v>
      </c>
      <c r="D55" s="201"/>
      <c r="E55" s="201"/>
      <c r="F55" s="201"/>
      <c r="G55" s="201"/>
      <c r="H55" s="202"/>
      <c r="I55" s="152" t="str">
        <f>'Motorista Executivo'!I55</f>
        <v>-</v>
      </c>
      <c r="J55" s="129">
        <f>'Motorista Executivo'!J55</f>
        <v>0</v>
      </c>
      <c r="L55" s="80"/>
      <c r="M55" s="88" t="s">
        <v>324</v>
      </c>
    </row>
    <row r="56" spans="2:13" x14ac:dyDescent="0.35">
      <c r="B56" s="85" t="s">
        <v>141</v>
      </c>
      <c r="C56" s="200" t="s">
        <v>325</v>
      </c>
      <c r="D56" s="201"/>
      <c r="E56" s="201"/>
      <c r="F56" s="201"/>
      <c r="G56" s="201"/>
      <c r="H56" s="202"/>
      <c r="I56" s="152" t="str">
        <f>'Motorista Executivo'!I56</f>
        <v>-</v>
      </c>
      <c r="J56" s="129">
        <f>'Motorista Executivo'!J56</f>
        <v>0</v>
      </c>
      <c r="L56" s="87"/>
      <c r="M56" s="88" t="s">
        <v>326</v>
      </c>
    </row>
    <row r="57" spans="2:13" x14ac:dyDescent="0.35">
      <c r="B57" s="85" t="s">
        <v>163</v>
      </c>
      <c r="C57" s="185" t="s">
        <v>166</v>
      </c>
      <c r="D57" s="185"/>
      <c r="E57" s="185"/>
      <c r="F57" s="185"/>
      <c r="G57" s="185"/>
      <c r="H57" s="185"/>
      <c r="I57" s="152" t="str">
        <f>'Motorista Executivo'!I57</f>
        <v>-</v>
      </c>
      <c r="J57" s="129">
        <f>'Motorista Executivo'!J57</f>
        <v>0</v>
      </c>
      <c r="L57" s="88"/>
      <c r="M57" s="88" t="s">
        <v>327</v>
      </c>
    </row>
    <row r="58" spans="2:13" x14ac:dyDescent="0.35">
      <c r="B58" s="177" t="s">
        <v>328</v>
      </c>
      <c r="C58" s="177"/>
      <c r="D58" s="177"/>
      <c r="E58" s="177"/>
      <c r="F58" s="177"/>
      <c r="G58" s="177"/>
      <c r="H58" s="177"/>
      <c r="I58" s="177"/>
      <c r="J58" s="130">
        <f>SUM(J53:J57)</f>
        <v>0</v>
      </c>
    </row>
    <row r="59" spans="2:13" x14ac:dyDescent="0.35">
      <c r="B59" s="198"/>
      <c r="C59" s="198"/>
      <c r="D59" s="198"/>
      <c r="E59" s="198"/>
      <c r="F59" s="198"/>
      <c r="G59" s="198"/>
      <c r="H59" s="198"/>
      <c r="I59" s="198"/>
      <c r="J59" s="199"/>
    </row>
    <row r="60" spans="2:13" x14ac:dyDescent="0.35">
      <c r="B60" s="180" t="s">
        <v>329</v>
      </c>
      <c r="C60" s="180"/>
      <c r="D60" s="180"/>
      <c r="E60" s="180"/>
      <c r="F60" s="180"/>
      <c r="G60" s="180"/>
      <c r="H60" s="180"/>
      <c r="I60" s="180"/>
      <c r="J60" s="180"/>
    </row>
    <row r="61" spans="2:13" x14ac:dyDescent="0.35">
      <c r="B61" s="177" t="s">
        <v>330</v>
      </c>
      <c r="C61" s="177"/>
      <c r="D61" s="177"/>
      <c r="E61" s="177"/>
      <c r="F61" s="177"/>
      <c r="G61" s="177"/>
      <c r="H61" s="177"/>
      <c r="I61" s="177"/>
      <c r="J61" s="85" t="s">
        <v>156</v>
      </c>
    </row>
    <row r="62" spans="2:13" x14ac:dyDescent="0.35">
      <c r="B62" s="85" t="s">
        <v>331</v>
      </c>
      <c r="C62" s="176" t="s">
        <v>332</v>
      </c>
      <c r="D62" s="176"/>
      <c r="E62" s="176"/>
      <c r="F62" s="176"/>
      <c r="G62" s="176"/>
      <c r="H62" s="176"/>
      <c r="I62" s="176"/>
      <c r="J62" s="129">
        <f>J39</f>
        <v>0</v>
      </c>
    </row>
    <row r="63" spans="2:13" x14ac:dyDescent="0.35">
      <c r="B63" s="85" t="s">
        <v>333</v>
      </c>
      <c r="C63" s="176" t="s">
        <v>334</v>
      </c>
      <c r="D63" s="176"/>
      <c r="E63" s="176"/>
      <c r="F63" s="176"/>
      <c r="G63" s="176"/>
      <c r="H63" s="176"/>
      <c r="I63" s="176"/>
      <c r="J63" s="129">
        <f>J50</f>
        <v>0</v>
      </c>
    </row>
    <row r="64" spans="2:13" x14ac:dyDescent="0.35">
      <c r="B64" s="85" t="s">
        <v>335</v>
      </c>
      <c r="C64" s="176" t="s">
        <v>336</v>
      </c>
      <c r="D64" s="176"/>
      <c r="E64" s="176"/>
      <c r="F64" s="176"/>
      <c r="G64" s="176"/>
      <c r="H64" s="176"/>
      <c r="I64" s="176"/>
      <c r="J64" s="129">
        <f>J58</f>
        <v>0</v>
      </c>
    </row>
    <row r="65" spans="2:13" x14ac:dyDescent="0.35">
      <c r="B65" s="177" t="s">
        <v>172</v>
      </c>
      <c r="C65" s="177"/>
      <c r="D65" s="177"/>
      <c r="E65" s="177"/>
      <c r="F65" s="177"/>
      <c r="G65" s="177"/>
      <c r="H65" s="177"/>
      <c r="I65" s="177"/>
      <c r="J65" s="130">
        <f>SUM(J62:J64)</f>
        <v>0</v>
      </c>
    </row>
    <row r="66" spans="2:13" x14ac:dyDescent="0.35">
      <c r="B66" s="186"/>
      <c r="C66" s="187"/>
      <c r="D66" s="187"/>
      <c r="E66" s="187"/>
      <c r="F66" s="187"/>
      <c r="G66" s="187"/>
      <c r="H66" s="187"/>
      <c r="I66" s="187"/>
      <c r="J66" s="187"/>
    </row>
    <row r="67" spans="2:13" x14ac:dyDescent="0.35">
      <c r="B67" s="188" t="s">
        <v>337</v>
      </c>
      <c r="C67" s="188"/>
      <c r="D67" s="188"/>
      <c r="E67" s="188"/>
      <c r="F67" s="188"/>
      <c r="G67" s="188"/>
      <c r="H67" s="188"/>
      <c r="I67" s="188"/>
      <c r="J67" s="188"/>
    </row>
    <row r="68" spans="2:13" x14ac:dyDescent="0.35">
      <c r="B68" s="85">
        <v>3</v>
      </c>
      <c r="C68" s="177" t="s">
        <v>338</v>
      </c>
      <c r="D68" s="177"/>
      <c r="E68" s="177"/>
      <c r="F68" s="177"/>
      <c r="G68" s="177"/>
      <c r="H68" s="177"/>
      <c r="I68" s="85" t="s">
        <v>155</v>
      </c>
      <c r="J68" s="85" t="s">
        <v>156</v>
      </c>
      <c r="L68" s="76" t="s">
        <v>157</v>
      </c>
      <c r="M68" s="76" t="s">
        <v>158</v>
      </c>
    </row>
    <row r="69" spans="2:13" ht="25.5" customHeight="1" x14ac:dyDescent="0.35">
      <c r="B69" s="85" t="s">
        <v>135</v>
      </c>
      <c r="C69" s="176" t="s">
        <v>339</v>
      </c>
      <c r="D69" s="176"/>
      <c r="E69" s="176"/>
      <c r="F69" s="176"/>
      <c r="G69" s="176"/>
      <c r="H69" s="176"/>
      <c r="I69" s="152">
        <f>'Motorista Executivo'!I69</f>
        <v>4.1666666666666666E-3</v>
      </c>
      <c r="J69" s="129">
        <f>TRUNC(I69*$J$33,2)</f>
        <v>0</v>
      </c>
      <c r="L69" s="141" t="s">
        <v>340</v>
      </c>
      <c r="M69" s="141" t="s">
        <v>341</v>
      </c>
    </row>
    <row r="70" spans="2:13" x14ac:dyDescent="0.35">
      <c r="B70" s="85" t="s">
        <v>137</v>
      </c>
      <c r="C70" s="176" t="s">
        <v>342</v>
      </c>
      <c r="D70" s="176"/>
      <c r="E70" s="176"/>
      <c r="F70" s="176"/>
      <c r="G70" s="176"/>
      <c r="H70" s="176"/>
      <c r="I70" s="152">
        <f>'Motorista Executivo'!I70</f>
        <v>3.3333333333333332E-4</v>
      </c>
      <c r="J70" s="129">
        <f>TRUNC(I70*$J$33,2)</f>
        <v>0</v>
      </c>
      <c r="L70" s="141" t="s">
        <v>343</v>
      </c>
      <c r="M70" s="141" t="s">
        <v>344</v>
      </c>
    </row>
    <row r="71" spans="2:13" x14ac:dyDescent="0.35">
      <c r="B71" s="85" t="s">
        <v>139</v>
      </c>
      <c r="C71" s="176" t="s">
        <v>345</v>
      </c>
      <c r="D71" s="176"/>
      <c r="E71" s="176"/>
      <c r="F71" s="176"/>
      <c r="G71" s="176"/>
      <c r="H71" s="176"/>
      <c r="I71" s="152">
        <f>'Motorista Executivo'!I71</f>
        <v>1.9444444444444445E-2</v>
      </c>
      <c r="J71" s="129">
        <f>TRUNC(I71*$J$33,2)</f>
        <v>0</v>
      </c>
      <c r="L71" s="141" t="s">
        <v>346</v>
      </c>
      <c r="M71" s="141" t="s">
        <v>347</v>
      </c>
    </row>
    <row r="72" spans="2:13" ht="25.5" customHeight="1" x14ac:dyDescent="0.35">
      <c r="B72" s="85" t="s">
        <v>141</v>
      </c>
      <c r="C72" s="176" t="s">
        <v>348</v>
      </c>
      <c r="D72" s="176"/>
      <c r="E72" s="176"/>
      <c r="F72" s="176"/>
      <c r="G72" s="176"/>
      <c r="H72" s="176"/>
      <c r="I72" s="152">
        <f>'Motorista Executivo'!I72</f>
        <v>7.1555555555555565E-3</v>
      </c>
      <c r="J72" s="129">
        <f>TRUNC(I72*$J$33,2)</f>
        <v>0</v>
      </c>
      <c r="L72" s="141" t="s">
        <v>349</v>
      </c>
    </row>
    <row r="73" spans="2:13" ht="25.5" customHeight="1" x14ac:dyDescent="0.35">
      <c r="B73" s="85" t="s">
        <v>163</v>
      </c>
      <c r="C73" s="193" t="s">
        <v>350</v>
      </c>
      <c r="D73" s="193"/>
      <c r="E73" s="193"/>
      <c r="F73" s="193"/>
      <c r="G73" s="193"/>
      <c r="H73" s="193"/>
      <c r="I73" s="152">
        <f>'Motorista Executivo'!I73</f>
        <v>0.04</v>
      </c>
      <c r="J73" s="129">
        <f>TRUNC(I73*$J$33,2)</f>
        <v>0</v>
      </c>
      <c r="L73" s="142" t="s">
        <v>351</v>
      </c>
      <c r="M73" s="143" t="s">
        <v>352</v>
      </c>
    </row>
    <row r="74" spans="2:13" x14ac:dyDescent="0.35">
      <c r="B74" s="177" t="s">
        <v>173</v>
      </c>
      <c r="C74" s="177"/>
      <c r="D74" s="177"/>
      <c r="E74" s="177"/>
      <c r="F74" s="177"/>
      <c r="G74" s="177"/>
      <c r="H74" s="177"/>
      <c r="I74" s="92">
        <f>SUM(I69:I73)</f>
        <v>7.1099999999999997E-2</v>
      </c>
      <c r="J74" s="130">
        <f>SUM(J69:J73)</f>
        <v>0</v>
      </c>
    </row>
    <row r="75" spans="2:13" ht="40.4" customHeight="1" x14ac:dyDescent="0.35">
      <c r="B75" s="144" t="s">
        <v>353</v>
      </c>
      <c r="C75" s="194" t="s">
        <v>354</v>
      </c>
      <c r="D75" s="194"/>
      <c r="E75" s="194"/>
      <c r="F75" s="194"/>
      <c r="G75" s="194"/>
      <c r="H75" s="194"/>
      <c r="I75" s="194"/>
      <c r="J75" s="195"/>
    </row>
    <row r="76" spans="2:13" x14ac:dyDescent="0.35">
      <c r="B76" s="196"/>
      <c r="C76" s="197"/>
      <c r="D76" s="197"/>
      <c r="E76" s="197"/>
      <c r="F76" s="197"/>
      <c r="G76" s="197"/>
      <c r="H76" s="197"/>
      <c r="I76" s="197"/>
      <c r="J76" s="197"/>
    </row>
    <row r="77" spans="2:13" x14ac:dyDescent="0.35">
      <c r="B77" s="188" t="s">
        <v>355</v>
      </c>
      <c r="C77" s="188"/>
      <c r="D77" s="188"/>
      <c r="E77" s="188"/>
      <c r="F77" s="188"/>
      <c r="G77" s="188"/>
      <c r="H77" s="188"/>
      <c r="I77" s="188"/>
      <c r="J77" s="188"/>
    </row>
    <row r="78" spans="2:13" x14ac:dyDescent="0.35">
      <c r="B78" s="177" t="s">
        <v>356</v>
      </c>
      <c r="C78" s="177"/>
      <c r="D78" s="177"/>
      <c r="E78" s="177"/>
      <c r="F78" s="177"/>
      <c r="G78" s="177"/>
      <c r="H78" s="177"/>
      <c r="I78" s="85" t="s">
        <v>155</v>
      </c>
      <c r="J78" s="85" t="s">
        <v>156</v>
      </c>
      <c r="L78" s="76" t="s">
        <v>157</v>
      </c>
      <c r="M78" s="76" t="s">
        <v>158</v>
      </c>
    </row>
    <row r="79" spans="2:13" ht="25.5" customHeight="1" x14ac:dyDescent="0.35">
      <c r="B79" s="85" t="s">
        <v>135</v>
      </c>
      <c r="C79" s="176" t="s">
        <v>357</v>
      </c>
      <c r="D79" s="176"/>
      <c r="E79" s="176"/>
      <c r="F79" s="176"/>
      <c r="G79" s="176"/>
      <c r="H79" s="176"/>
      <c r="I79" s="152">
        <f>'Motorista Executivo'!I79</f>
        <v>1.6203703703703703E-2</v>
      </c>
      <c r="J79" s="129">
        <f t="shared" ref="J79:J84" si="0">TRUNC(($J$33)*I79,2)</f>
        <v>0</v>
      </c>
      <c r="L79" s="141" t="s">
        <v>358</v>
      </c>
      <c r="M79" s="141" t="s">
        <v>359</v>
      </c>
    </row>
    <row r="80" spans="2:13" x14ac:dyDescent="0.35">
      <c r="B80" s="85" t="s">
        <v>137</v>
      </c>
      <c r="C80" s="176" t="s">
        <v>360</v>
      </c>
      <c r="D80" s="176"/>
      <c r="E80" s="176"/>
      <c r="F80" s="176"/>
      <c r="G80" s="176"/>
      <c r="H80" s="176"/>
      <c r="I80" s="152">
        <f>'Motorista Executivo'!I80</f>
        <v>2.7777777777777779E-3</v>
      </c>
      <c r="J80" s="129">
        <f t="shared" si="0"/>
        <v>0</v>
      </c>
      <c r="L80" s="141" t="s">
        <v>361</v>
      </c>
      <c r="M80" s="141" t="s">
        <v>362</v>
      </c>
    </row>
    <row r="81" spans="2:13" ht="25.5" customHeight="1" x14ac:dyDescent="0.35">
      <c r="B81" s="85" t="s">
        <v>139</v>
      </c>
      <c r="C81" s="176" t="s">
        <v>363</v>
      </c>
      <c r="D81" s="176"/>
      <c r="E81" s="176"/>
      <c r="F81" s="176"/>
      <c r="G81" s="176"/>
      <c r="H81" s="176"/>
      <c r="I81" s="152">
        <f>'Motorista Executivo'!I81</f>
        <v>2.0833333333333332E-4</v>
      </c>
      <c r="J81" s="129">
        <f t="shared" si="0"/>
        <v>0</v>
      </c>
      <c r="L81" s="141" t="s">
        <v>364</v>
      </c>
      <c r="M81" s="133" t="s">
        <v>365</v>
      </c>
    </row>
    <row r="82" spans="2:13" ht="25.5" customHeight="1" x14ac:dyDescent="0.35">
      <c r="B82" s="85" t="s">
        <v>141</v>
      </c>
      <c r="C82" s="176" t="s">
        <v>366</v>
      </c>
      <c r="D82" s="176"/>
      <c r="E82" s="176"/>
      <c r="F82" s="176"/>
      <c r="G82" s="176"/>
      <c r="H82" s="176"/>
      <c r="I82" s="152">
        <f>'Motorista Executivo'!I82</f>
        <v>3.3333333333333331E-3</v>
      </c>
      <c r="J82" s="129">
        <f t="shared" si="0"/>
        <v>0</v>
      </c>
      <c r="L82" s="141" t="s">
        <v>367</v>
      </c>
      <c r="M82" s="133" t="s">
        <v>368</v>
      </c>
    </row>
    <row r="83" spans="2:13" ht="25.5" customHeight="1" x14ac:dyDescent="0.35">
      <c r="B83" s="85" t="s">
        <v>163</v>
      </c>
      <c r="C83" s="176" t="s">
        <v>369</v>
      </c>
      <c r="D83" s="176"/>
      <c r="E83" s="176"/>
      <c r="F83" s="176"/>
      <c r="G83" s="176"/>
      <c r="H83" s="176"/>
      <c r="I83" s="152">
        <f>'Motorista Executivo'!I83</f>
        <v>7.4066666666666671E-4</v>
      </c>
      <c r="J83" s="129">
        <f t="shared" si="0"/>
        <v>0</v>
      </c>
      <c r="L83" s="141" t="s">
        <v>370</v>
      </c>
      <c r="M83" s="133" t="s">
        <v>371</v>
      </c>
    </row>
    <row r="84" spans="2:13" x14ac:dyDescent="0.35">
      <c r="B84" s="85" t="s">
        <v>165</v>
      </c>
      <c r="C84" s="176" t="s">
        <v>372</v>
      </c>
      <c r="D84" s="176"/>
      <c r="E84" s="176"/>
      <c r="F84" s="176"/>
      <c r="G84" s="176"/>
      <c r="H84" s="176"/>
      <c r="I84" s="152">
        <f>'Motorista Executivo'!I84</f>
        <v>0</v>
      </c>
      <c r="J84" s="129">
        <f t="shared" si="0"/>
        <v>0</v>
      </c>
    </row>
    <row r="85" spans="2:13" x14ac:dyDescent="0.35">
      <c r="B85" s="177" t="s">
        <v>373</v>
      </c>
      <c r="C85" s="177"/>
      <c r="D85" s="177"/>
      <c r="E85" s="177"/>
      <c r="F85" s="177"/>
      <c r="G85" s="177"/>
      <c r="H85" s="177"/>
      <c r="I85" s="92">
        <f>SUM(I79:I84)</f>
        <v>2.3263814814814817E-2</v>
      </c>
      <c r="J85" s="130">
        <f>SUM(J79:J84)</f>
        <v>0</v>
      </c>
    </row>
    <row r="86" spans="2:13" x14ac:dyDescent="0.35">
      <c r="B86" s="191"/>
      <c r="C86" s="192"/>
      <c r="D86" s="192"/>
      <c r="E86" s="192"/>
      <c r="F86" s="192"/>
      <c r="G86" s="192"/>
      <c r="H86" s="192"/>
      <c r="I86" s="192"/>
      <c r="J86" s="192"/>
    </row>
    <row r="87" spans="2:13" x14ac:dyDescent="0.35">
      <c r="B87" s="177" t="s">
        <v>374</v>
      </c>
      <c r="C87" s="177"/>
      <c r="D87" s="177"/>
      <c r="E87" s="177"/>
      <c r="F87" s="177"/>
      <c r="G87" s="177"/>
      <c r="H87" s="177"/>
      <c r="I87" s="85" t="s">
        <v>155</v>
      </c>
      <c r="J87" s="85" t="s">
        <v>156</v>
      </c>
    </row>
    <row r="88" spans="2:13" x14ac:dyDescent="0.35">
      <c r="B88" s="85" t="s">
        <v>135</v>
      </c>
      <c r="C88" s="193" t="s">
        <v>375</v>
      </c>
      <c r="D88" s="176"/>
      <c r="E88" s="176"/>
      <c r="F88" s="176"/>
      <c r="G88" s="176"/>
      <c r="H88" s="176"/>
      <c r="I88" s="152">
        <f>'Motorista Executivo'!I88</f>
        <v>0</v>
      </c>
      <c r="J88" s="129">
        <v>0</v>
      </c>
    </row>
    <row r="89" spans="2:13" x14ac:dyDescent="0.35">
      <c r="B89" s="177" t="s">
        <v>376</v>
      </c>
      <c r="C89" s="177"/>
      <c r="D89" s="177"/>
      <c r="E89" s="177"/>
      <c r="F89" s="177"/>
      <c r="G89" s="177"/>
      <c r="H89" s="177"/>
      <c r="I89" s="92">
        <v>0</v>
      </c>
      <c r="J89" s="130">
        <v>0</v>
      </c>
    </row>
    <row r="90" spans="2:13" x14ac:dyDescent="0.35">
      <c r="B90" s="189"/>
      <c r="C90" s="190"/>
      <c r="D90" s="190"/>
      <c r="E90" s="190"/>
      <c r="F90" s="190"/>
      <c r="G90" s="190"/>
      <c r="H90" s="190"/>
      <c r="I90" s="190"/>
      <c r="J90" s="190"/>
    </row>
    <row r="91" spans="2:13" x14ac:dyDescent="0.35">
      <c r="B91" s="180" t="s">
        <v>377</v>
      </c>
      <c r="C91" s="180"/>
      <c r="D91" s="180"/>
      <c r="E91" s="180"/>
      <c r="F91" s="180"/>
      <c r="G91" s="180"/>
      <c r="H91" s="180"/>
      <c r="I91" s="180"/>
      <c r="J91" s="180"/>
    </row>
    <row r="92" spans="2:13" x14ac:dyDescent="0.35">
      <c r="B92" s="177" t="s">
        <v>378</v>
      </c>
      <c r="C92" s="177"/>
      <c r="D92" s="177"/>
      <c r="E92" s="177"/>
      <c r="F92" s="177"/>
      <c r="G92" s="177"/>
      <c r="H92" s="177"/>
      <c r="I92" s="177"/>
      <c r="J92" s="85" t="s">
        <v>156</v>
      </c>
    </row>
    <row r="93" spans="2:13" x14ac:dyDescent="0.35">
      <c r="B93" s="85" t="s">
        <v>379</v>
      </c>
      <c r="C93" s="176" t="s">
        <v>380</v>
      </c>
      <c r="D93" s="176"/>
      <c r="E93" s="176"/>
      <c r="F93" s="176"/>
      <c r="G93" s="176"/>
      <c r="H93" s="176"/>
      <c r="I93" s="176"/>
      <c r="J93" s="129">
        <f>J85</f>
        <v>0</v>
      </c>
    </row>
    <row r="94" spans="2:13" x14ac:dyDescent="0.35">
      <c r="B94" s="85" t="s">
        <v>381</v>
      </c>
      <c r="C94" s="176" t="s">
        <v>382</v>
      </c>
      <c r="D94" s="176"/>
      <c r="E94" s="176"/>
      <c r="F94" s="176"/>
      <c r="G94" s="176"/>
      <c r="H94" s="176"/>
      <c r="I94" s="176"/>
      <c r="J94" s="129">
        <f>J89</f>
        <v>0</v>
      </c>
    </row>
    <row r="95" spans="2:13" x14ac:dyDescent="0.35">
      <c r="B95" s="177" t="s">
        <v>174</v>
      </c>
      <c r="C95" s="177"/>
      <c r="D95" s="177"/>
      <c r="E95" s="177"/>
      <c r="F95" s="177"/>
      <c r="G95" s="177"/>
      <c r="H95" s="177"/>
      <c r="I95" s="177"/>
      <c r="J95" s="130">
        <f>SUM(J93:J94)</f>
        <v>0</v>
      </c>
    </row>
    <row r="96" spans="2:13" x14ac:dyDescent="0.35">
      <c r="B96" s="186"/>
      <c r="C96" s="187"/>
      <c r="D96" s="187"/>
      <c r="E96" s="187"/>
      <c r="F96" s="187"/>
      <c r="G96" s="187"/>
      <c r="H96" s="187"/>
      <c r="I96" s="187"/>
      <c r="J96" s="187"/>
    </row>
    <row r="97" spans="2:13" x14ac:dyDescent="0.35">
      <c r="B97" s="188" t="s">
        <v>383</v>
      </c>
      <c r="C97" s="188"/>
      <c r="D97" s="188"/>
      <c r="E97" s="188"/>
      <c r="F97" s="188"/>
      <c r="G97" s="188"/>
      <c r="H97" s="188"/>
      <c r="I97" s="188"/>
      <c r="J97" s="188"/>
    </row>
    <row r="98" spans="2:13" x14ac:dyDescent="0.35">
      <c r="B98" s="85">
        <v>5</v>
      </c>
      <c r="C98" s="177" t="s">
        <v>384</v>
      </c>
      <c r="D98" s="177"/>
      <c r="E98" s="177"/>
      <c r="F98" s="177"/>
      <c r="G98" s="177"/>
      <c r="H98" s="177"/>
      <c r="I98" s="85"/>
      <c r="J98" s="85" t="s">
        <v>156</v>
      </c>
      <c r="L98"/>
      <c r="M98"/>
    </row>
    <row r="99" spans="2:13" x14ac:dyDescent="0.35">
      <c r="B99" s="85" t="s">
        <v>135</v>
      </c>
      <c r="C99" s="185" t="s">
        <v>175</v>
      </c>
      <c r="D99" s="185"/>
      <c r="E99" s="185"/>
      <c r="F99" s="185"/>
      <c r="G99" s="185"/>
      <c r="H99" s="185"/>
      <c r="I99" s="152" t="str">
        <f>'Motorista Executivo'!I99</f>
        <v>-</v>
      </c>
      <c r="J99" s="129">
        <f>'Motorista Executivo'!J99</f>
        <v>0</v>
      </c>
      <c r="L99"/>
      <c r="M99"/>
    </row>
    <row r="100" spans="2:13" x14ac:dyDescent="0.35">
      <c r="B100" s="85" t="s">
        <v>137</v>
      </c>
      <c r="C100" s="185" t="s">
        <v>385</v>
      </c>
      <c r="D100" s="185"/>
      <c r="E100" s="185"/>
      <c r="F100" s="185"/>
      <c r="G100" s="185"/>
      <c r="H100" s="185"/>
      <c r="I100" s="152" t="str">
        <f>'Motorista Executivo'!I100</f>
        <v>-</v>
      </c>
      <c r="J100" s="129">
        <f>'Motorista Executivo'!J100</f>
        <v>0</v>
      </c>
      <c r="L100"/>
      <c r="M100"/>
    </row>
    <row r="101" spans="2:13" x14ac:dyDescent="0.35">
      <c r="B101" s="137" t="s">
        <v>139</v>
      </c>
      <c r="C101" s="185" t="s">
        <v>166</v>
      </c>
      <c r="D101" s="185"/>
      <c r="E101" s="185"/>
      <c r="F101" s="185"/>
      <c r="G101" s="185"/>
      <c r="H101" s="185"/>
      <c r="I101" s="152">
        <f>'Motorista Executivo'!I101</f>
        <v>0</v>
      </c>
      <c r="J101" s="129">
        <f>'Motorista Executivo'!J101</f>
        <v>0</v>
      </c>
    </row>
    <row r="102" spans="2:13" x14ac:dyDescent="0.35">
      <c r="B102" s="137" t="s">
        <v>141</v>
      </c>
      <c r="C102" s="219" t="s">
        <v>166</v>
      </c>
      <c r="D102" s="220"/>
      <c r="E102" s="220"/>
      <c r="F102" s="220"/>
      <c r="G102" s="220"/>
      <c r="H102" s="221"/>
      <c r="I102" s="152" t="str">
        <f>'Motorista Executivo'!I102</f>
        <v>-</v>
      </c>
      <c r="J102" s="129">
        <f>'Motorista Executivo'!J102</f>
        <v>0</v>
      </c>
    </row>
    <row r="103" spans="2:13" x14ac:dyDescent="0.35">
      <c r="B103" s="177" t="s">
        <v>176</v>
      </c>
      <c r="C103" s="177"/>
      <c r="D103" s="177"/>
      <c r="E103" s="177"/>
      <c r="F103" s="177"/>
      <c r="G103" s="177"/>
      <c r="H103" s="177"/>
      <c r="I103" s="152" t="str">
        <f>'Motorista Executivo'!I103</f>
        <v>-</v>
      </c>
      <c r="J103" s="130">
        <f>SUM(J99:J102)</f>
        <v>0</v>
      </c>
    </row>
    <row r="104" spans="2:13" x14ac:dyDescent="0.35">
      <c r="B104" s="186"/>
      <c r="C104" s="187"/>
      <c r="D104" s="187"/>
      <c r="E104" s="187"/>
      <c r="F104" s="187"/>
      <c r="G104" s="187"/>
      <c r="H104" s="187"/>
      <c r="I104" s="187"/>
      <c r="J104" s="187"/>
    </row>
    <row r="105" spans="2:13" x14ac:dyDescent="0.35">
      <c r="B105" s="188" t="s">
        <v>386</v>
      </c>
      <c r="C105" s="188"/>
      <c r="D105" s="188"/>
      <c r="E105" s="188"/>
      <c r="F105" s="188"/>
      <c r="G105" s="188"/>
      <c r="H105" s="188"/>
      <c r="I105" s="188"/>
      <c r="J105" s="188"/>
    </row>
    <row r="106" spans="2:13" x14ac:dyDescent="0.35">
      <c r="B106" s="85">
        <v>6</v>
      </c>
      <c r="C106" s="177" t="s">
        <v>387</v>
      </c>
      <c r="D106" s="177"/>
      <c r="E106" s="177"/>
      <c r="F106" s="177"/>
      <c r="G106" s="177"/>
      <c r="H106" s="177"/>
      <c r="I106" s="85" t="s">
        <v>155</v>
      </c>
      <c r="J106" s="85" t="s">
        <v>156</v>
      </c>
      <c r="L106" s="76" t="s">
        <v>157</v>
      </c>
      <c r="M106" s="76" t="s">
        <v>158</v>
      </c>
    </row>
    <row r="107" spans="2:13" x14ac:dyDescent="0.35">
      <c r="B107" s="85" t="s">
        <v>135</v>
      </c>
      <c r="C107" s="176" t="s">
        <v>177</v>
      </c>
      <c r="D107" s="176"/>
      <c r="E107" s="176"/>
      <c r="F107" s="176"/>
      <c r="G107" s="176"/>
      <c r="H107" s="176"/>
      <c r="I107" s="152">
        <f>'Motorista Executivo'!I107</f>
        <v>5.2699999999999997E-2</v>
      </c>
      <c r="J107" s="129">
        <f>TRUNC(((J131)*I107),2)</f>
        <v>0</v>
      </c>
      <c r="L107" s="80"/>
      <c r="M107" s="80" t="s">
        <v>178</v>
      </c>
    </row>
    <row r="108" spans="2:13" x14ac:dyDescent="0.35">
      <c r="B108" s="85" t="s">
        <v>137</v>
      </c>
      <c r="C108" s="176" t="s">
        <v>179</v>
      </c>
      <c r="D108" s="176"/>
      <c r="E108" s="176"/>
      <c r="F108" s="176"/>
      <c r="G108" s="176"/>
      <c r="H108" s="176"/>
      <c r="I108" s="152">
        <f>'Motorista Executivo'!I108</f>
        <v>6.0699999999999997E-2</v>
      </c>
      <c r="J108" s="129">
        <f>TRUNC(((J131+J107)*I108),2)</f>
        <v>0</v>
      </c>
      <c r="L108" s="80"/>
      <c r="M108" s="80" t="s">
        <v>180</v>
      </c>
    </row>
    <row r="109" spans="2:13" x14ac:dyDescent="0.35">
      <c r="B109" s="85" t="s">
        <v>139</v>
      </c>
      <c r="C109" s="184" t="s">
        <v>181</v>
      </c>
      <c r="D109" s="184"/>
      <c r="E109" s="184"/>
      <c r="F109" s="184"/>
      <c r="G109" s="184"/>
      <c r="H109" s="184"/>
      <c r="I109" s="152"/>
      <c r="J109" s="146"/>
      <c r="L109" s="14"/>
      <c r="M109" s="14"/>
    </row>
    <row r="110" spans="2:13" x14ac:dyDescent="0.35">
      <c r="B110" s="85" t="s">
        <v>182</v>
      </c>
      <c r="C110" s="176" t="s">
        <v>183</v>
      </c>
      <c r="D110" s="176"/>
      <c r="E110" s="176"/>
      <c r="F110" s="176"/>
      <c r="G110" s="176"/>
      <c r="H110" s="176"/>
      <c r="I110" s="152">
        <f>'Motorista Executivo'!I110</f>
        <v>6.4999999999999997E-3</v>
      </c>
      <c r="J110" s="129">
        <f>TRUNC(I110*((J131+J107+J108)/(1-I115)),2)</f>
        <v>0</v>
      </c>
      <c r="L110" s="80"/>
      <c r="M110" s="80" t="s">
        <v>184</v>
      </c>
    </row>
    <row r="111" spans="2:13" x14ac:dyDescent="0.35">
      <c r="B111" s="85" t="s">
        <v>185</v>
      </c>
      <c r="C111" s="176" t="s">
        <v>186</v>
      </c>
      <c r="D111" s="176"/>
      <c r="E111" s="176"/>
      <c r="F111" s="176"/>
      <c r="G111" s="176"/>
      <c r="H111" s="176"/>
      <c r="I111" s="152">
        <f>'Motorista Executivo'!I111</f>
        <v>0.03</v>
      </c>
      <c r="J111" s="129">
        <f>TRUNC(I111*(J131+J107+J108)/(1-I115),2)</f>
        <v>0</v>
      </c>
      <c r="L111" s="80"/>
      <c r="M111" s="80" t="s">
        <v>187</v>
      </c>
    </row>
    <row r="112" spans="2:13" x14ac:dyDescent="0.35">
      <c r="B112" s="85" t="s">
        <v>188</v>
      </c>
      <c r="C112" s="176" t="s">
        <v>189</v>
      </c>
      <c r="D112" s="176"/>
      <c r="E112" s="176"/>
      <c r="F112" s="176"/>
      <c r="G112" s="176"/>
      <c r="H112" s="176"/>
      <c r="I112" s="152">
        <f>'Motorista Executivo'!I112</f>
        <v>0.05</v>
      </c>
      <c r="J112" s="129">
        <f>TRUNC(I112*(J131+J107+J108)/(1-I115),2)</f>
        <v>0</v>
      </c>
      <c r="L112" s="15"/>
      <c r="M112" s="15" t="s">
        <v>190</v>
      </c>
    </row>
    <row r="113" spans="2:13" x14ac:dyDescent="0.35">
      <c r="B113" s="177" t="s">
        <v>388</v>
      </c>
      <c r="C113" s="177"/>
      <c r="D113" s="177"/>
      <c r="E113" s="177"/>
      <c r="F113" s="177"/>
      <c r="G113" s="177"/>
      <c r="H113" s="177"/>
      <c r="I113" s="152">
        <f>'Motorista Executivo'!I113</f>
        <v>0.19990000000000002</v>
      </c>
      <c r="J113" s="130">
        <f>SUM(J107:J112)</f>
        <v>0</v>
      </c>
    </row>
    <row r="114" spans="2:13" x14ac:dyDescent="0.35">
      <c r="B114" s="61"/>
      <c r="C114" s="181"/>
      <c r="D114" s="181"/>
      <c r="E114" s="181"/>
      <c r="F114" s="181"/>
      <c r="G114" s="181"/>
      <c r="H114" s="181"/>
      <c r="I114" s="181"/>
      <c r="J114" s="181"/>
      <c r="L114" s="14"/>
      <c r="M114" s="14"/>
    </row>
    <row r="115" spans="2:13" x14ac:dyDescent="0.35">
      <c r="B115" s="78" t="s">
        <v>191</v>
      </c>
      <c r="C115" s="182" t="s">
        <v>192</v>
      </c>
      <c r="D115" s="182"/>
      <c r="E115" s="182"/>
      <c r="F115" s="182"/>
      <c r="G115" s="182"/>
      <c r="H115" s="182"/>
      <c r="I115" s="79">
        <f>I110+I111+I112</f>
        <v>8.6499999999999994E-2</v>
      </c>
      <c r="J115" s="147"/>
    </row>
    <row r="116" spans="2:13" x14ac:dyDescent="0.35">
      <c r="B116" s="1"/>
      <c r="C116" s="183">
        <v>100</v>
      </c>
      <c r="D116" s="183"/>
      <c r="E116" s="183"/>
      <c r="F116" s="183"/>
      <c r="G116" s="183"/>
      <c r="H116" s="183"/>
      <c r="I116" s="107"/>
      <c r="J116" s="148"/>
    </row>
    <row r="117" spans="2:13" x14ac:dyDescent="0.35">
      <c r="B117" s="2"/>
      <c r="C117" s="60"/>
      <c r="D117" s="60"/>
      <c r="E117" s="60"/>
      <c r="F117" s="60"/>
      <c r="G117" s="60"/>
      <c r="H117" s="60"/>
      <c r="I117" s="107"/>
      <c r="J117" s="148"/>
    </row>
    <row r="118" spans="2:13" x14ac:dyDescent="0.35">
      <c r="B118" s="1" t="s">
        <v>193</v>
      </c>
      <c r="C118" s="183" t="s">
        <v>194</v>
      </c>
      <c r="D118" s="183"/>
      <c r="E118" s="183"/>
      <c r="F118" s="183"/>
      <c r="G118" s="183"/>
      <c r="H118" s="183"/>
      <c r="I118" s="107"/>
      <c r="J118" s="148">
        <f>J33+J65+J74+J95+J103+J107+J108</f>
        <v>0</v>
      </c>
    </row>
    <row r="119" spans="2:13" x14ac:dyDescent="0.35">
      <c r="B119" s="1"/>
      <c r="C119" s="60"/>
      <c r="D119" s="60"/>
      <c r="E119" s="60"/>
      <c r="F119" s="60"/>
      <c r="G119" s="60"/>
      <c r="H119" s="60"/>
      <c r="I119" s="107"/>
      <c r="J119" s="148"/>
    </row>
    <row r="120" spans="2:13" x14ac:dyDescent="0.35">
      <c r="B120" s="1" t="s">
        <v>195</v>
      </c>
      <c r="C120" s="183" t="s">
        <v>196</v>
      </c>
      <c r="D120" s="183"/>
      <c r="E120" s="183"/>
      <c r="F120" s="183"/>
      <c r="G120" s="183"/>
      <c r="H120" s="183"/>
      <c r="I120" s="107"/>
      <c r="J120" s="148">
        <f>TRUNC(J118/(1-I115),2)</f>
        <v>0</v>
      </c>
    </row>
    <row r="121" spans="2:13" x14ac:dyDescent="0.35">
      <c r="B121" s="1"/>
      <c r="C121" s="60"/>
      <c r="D121" s="60"/>
      <c r="E121" s="60"/>
      <c r="F121" s="60"/>
      <c r="G121" s="60"/>
      <c r="H121" s="60"/>
      <c r="I121" s="107"/>
      <c r="J121" s="148"/>
    </row>
    <row r="122" spans="2:13" x14ac:dyDescent="0.35">
      <c r="B122" s="3"/>
      <c r="C122" s="179" t="s">
        <v>197</v>
      </c>
      <c r="D122" s="179"/>
      <c r="E122" s="179"/>
      <c r="F122" s="179"/>
      <c r="G122" s="179"/>
      <c r="H122" s="179"/>
      <c r="I122" s="4"/>
      <c r="J122" s="149">
        <f>J120-J118</f>
        <v>0</v>
      </c>
    </row>
    <row r="123" spans="2:13" x14ac:dyDescent="0.35">
      <c r="B123" s="61"/>
      <c r="C123" s="61"/>
      <c r="D123" s="61"/>
      <c r="E123" s="61"/>
      <c r="F123" s="61"/>
      <c r="G123" s="61"/>
      <c r="H123" s="61"/>
      <c r="I123" s="61"/>
      <c r="J123" s="131"/>
    </row>
    <row r="124" spans="2:13" x14ac:dyDescent="0.35">
      <c r="B124" s="180" t="s">
        <v>198</v>
      </c>
      <c r="C124" s="180"/>
      <c r="D124" s="180"/>
      <c r="E124" s="180"/>
      <c r="F124" s="180"/>
      <c r="G124" s="180"/>
      <c r="H124" s="180"/>
      <c r="I124" s="180"/>
      <c r="J124" s="180"/>
    </row>
    <row r="125" spans="2:13" x14ac:dyDescent="0.35">
      <c r="B125" s="177" t="s">
        <v>199</v>
      </c>
      <c r="C125" s="177"/>
      <c r="D125" s="177"/>
      <c r="E125" s="177"/>
      <c r="F125" s="177"/>
      <c r="G125" s="177"/>
      <c r="H125" s="177"/>
      <c r="I125" s="177"/>
      <c r="J125" s="85" t="s">
        <v>156</v>
      </c>
    </row>
    <row r="126" spans="2:13" x14ac:dyDescent="0.35">
      <c r="B126" s="84" t="s">
        <v>135</v>
      </c>
      <c r="C126" s="176" t="s">
        <v>154</v>
      </c>
      <c r="D126" s="176"/>
      <c r="E126" s="176"/>
      <c r="F126" s="176"/>
      <c r="G126" s="176"/>
      <c r="H126" s="176"/>
      <c r="I126" s="176"/>
      <c r="J126" s="129">
        <f>J33</f>
        <v>0</v>
      </c>
    </row>
    <row r="127" spans="2:13" x14ac:dyDescent="0.35">
      <c r="B127" s="84" t="s">
        <v>137</v>
      </c>
      <c r="C127" s="176" t="s">
        <v>295</v>
      </c>
      <c r="D127" s="176"/>
      <c r="E127" s="176"/>
      <c r="F127" s="176"/>
      <c r="G127" s="176"/>
      <c r="H127" s="176"/>
      <c r="I127" s="176"/>
      <c r="J127" s="129">
        <f>J65</f>
        <v>0</v>
      </c>
    </row>
    <row r="128" spans="2:13" x14ac:dyDescent="0.35">
      <c r="B128" s="84" t="s">
        <v>139</v>
      </c>
      <c r="C128" s="176" t="s">
        <v>337</v>
      </c>
      <c r="D128" s="176"/>
      <c r="E128" s="176"/>
      <c r="F128" s="176"/>
      <c r="G128" s="176"/>
      <c r="H128" s="176"/>
      <c r="I128" s="176"/>
      <c r="J128" s="129">
        <f>J74</f>
        <v>0</v>
      </c>
    </row>
    <row r="129" spans="2:10" x14ac:dyDescent="0.35">
      <c r="B129" s="84" t="s">
        <v>141</v>
      </c>
      <c r="C129" s="176" t="s">
        <v>355</v>
      </c>
      <c r="D129" s="176"/>
      <c r="E129" s="176"/>
      <c r="F129" s="176"/>
      <c r="G129" s="176"/>
      <c r="H129" s="176"/>
      <c r="I129" s="176"/>
      <c r="J129" s="129">
        <f>J95</f>
        <v>0</v>
      </c>
    </row>
    <row r="130" spans="2:10" x14ac:dyDescent="0.35">
      <c r="B130" s="84" t="s">
        <v>163</v>
      </c>
      <c r="C130" s="176" t="s">
        <v>383</v>
      </c>
      <c r="D130" s="176"/>
      <c r="E130" s="176"/>
      <c r="F130" s="176"/>
      <c r="G130" s="176"/>
      <c r="H130" s="176"/>
      <c r="I130" s="176"/>
      <c r="J130" s="129">
        <f>J103</f>
        <v>0</v>
      </c>
    </row>
    <row r="131" spans="2:10" x14ac:dyDescent="0.35">
      <c r="B131" s="85"/>
      <c r="C131" s="177" t="s">
        <v>200</v>
      </c>
      <c r="D131" s="177"/>
      <c r="E131" s="177"/>
      <c r="F131" s="177"/>
      <c r="G131" s="177"/>
      <c r="H131" s="177"/>
      <c r="I131" s="177"/>
      <c r="J131" s="130">
        <f>SUM(J126:J130)</f>
        <v>0</v>
      </c>
    </row>
    <row r="132" spans="2:10" x14ac:dyDescent="0.35">
      <c r="B132" s="84" t="s">
        <v>165</v>
      </c>
      <c r="C132" s="176" t="s">
        <v>386</v>
      </c>
      <c r="D132" s="176"/>
      <c r="E132" s="176"/>
      <c r="F132" s="176"/>
      <c r="G132" s="176"/>
      <c r="H132" s="176"/>
      <c r="I132" s="176"/>
      <c r="J132" s="129">
        <f>J113</f>
        <v>0</v>
      </c>
    </row>
    <row r="133" spans="2:10" x14ac:dyDescent="0.35">
      <c r="B133" s="216" t="s">
        <v>201</v>
      </c>
      <c r="C133" s="217"/>
      <c r="D133" s="217"/>
      <c r="E133" s="217"/>
      <c r="F133" s="217"/>
      <c r="G133" s="217"/>
      <c r="H133" s="217"/>
      <c r="I133" s="218"/>
      <c r="J133" s="118">
        <f>ROUND(J131+J132,2)</f>
        <v>0</v>
      </c>
    </row>
    <row r="134" spans="2:10" ht="18" x14ac:dyDescent="0.35">
      <c r="B134" s="178" t="s">
        <v>256</v>
      </c>
      <c r="C134" s="178"/>
      <c r="D134" s="178"/>
      <c r="E134" s="178"/>
      <c r="F134" s="178"/>
      <c r="G134" s="178"/>
      <c r="H134" s="178"/>
      <c r="I134" s="178"/>
      <c r="J134" s="124">
        <f>J133-'Motorista Executivo'!J133</f>
        <v>0</v>
      </c>
    </row>
    <row r="135" spans="2:10" x14ac:dyDescent="0.35">
      <c r="B135" s="5"/>
      <c r="C135" s="5"/>
      <c r="D135" s="5"/>
      <c r="E135" s="5"/>
      <c r="F135" s="5"/>
      <c r="G135" s="5"/>
      <c r="H135" s="5"/>
      <c r="I135" s="5"/>
      <c r="J135" s="5"/>
    </row>
    <row r="136" spans="2:10" x14ac:dyDescent="0.35">
      <c r="B136" s="9"/>
      <c r="C136" s="10"/>
      <c r="D136" s="5"/>
      <c r="E136" s="5"/>
      <c r="F136" s="5"/>
      <c r="G136" s="5"/>
      <c r="H136" s="5"/>
      <c r="I136" s="5"/>
      <c r="J136" s="5"/>
    </row>
    <row r="137" spans="2:10" x14ac:dyDescent="0.35">
      <c r="B137" s="6"/>
      <c r="C137" s="6"/>
      <c r="D137" s="7"/>
    </row>
    <row r="138" spans="2:10" x14ac:dyDescent="0.35">
      <c r="B138" s="8"/>
      <c r="C138" s="5"/>
      <c r="D138" s="5"/>
    </row>
    <row r="139" spans="2:10" x14ac:dyDescent="0.35">
      <c r="B139" s="8"/>
      <c r="C139" s="5"/>
      <c r="D139" s="5"/>
    </row>
  </sheetData>
  <mergeCells count="140">
    <mergeCell ref="B1:J1"/>
    <mergeCell ref="B2:J2"/>
    <mergeCell ref="B3:J3"/>
    <mergeCell ref="B4:J4"/>
    <mergeCell ref="B5:J5"/>
    <mergeCell ref="B6:J6"/>
    <mergeCell ref="C11:H11"/>
    <mergeCell ref="I11:J11"/>
    <mergeCell ref="C12:H12"/>
    <mergeCell ref="I12:J12"/>
    <mergeCell ref="B14:J14"/>
    <mergeCell ref="B15:C15"/>
    <mergeCell ref="D15:E15"/>
    <mergeCell ref="F15:J15"/>
    <mergeCell ref="B7:J7"/>
    <mergeCell ref="B8:J8"/>
    <mergeCell ref="C9:H9"/>
    <mergeCell ref="I9:J9"/>
    <mergeCell ref="C10:H10"/>
    <mergeCell ref="I10:J10"/>
    <mergeCell ref="C20:H20"/>
    <mergeCell ref="I20:J20"/>
    <mergeCell ref="C21:H21"/>
    <mergeCell ref="I21:J21"/>
    <mergeCell ref="C22:H22"/>
    <mergeCell ref="I22:J22"/>
    <mergeCell ref="B16:C16"/>
    <mergeCell ref="D16:E16"/>
    <mergeCell ref="F16:J16"/>
    <mergeCell ref="B18:J18"/>
    <mergeCell ref="C19:H19"/>
    <mergeCell ref="I19:J19"/>
    <mergeCell ref="C28:H28"/>
    <mergeCell ref="C29:H29"/>
    <mergeCell ref="C30:H30"/>
    <mergeCell ref="C31:H31"/>
    <mergeCell ref="C32:H32"/>
    <mergeCell ref="B33:I33"/>
    <mergeCell ref="C23:H23"/>
    <mergeCell ref="I23:J23"/>
    <mergeCell ref="B24:J24"/>
    <mergeCell ref="B25:J25"/>
    <mergeCell ref="C26:H26"/>
    <mergeCell ref="C27:H27"/>
    <mergeCell ref="B41:H41"/>
    <mergeCell ref="C42:H42"/>
    <mergeCell ref="C43:H43"/>
    <mergeCell ref="C44:H44"/>
    <mergeCell ref="C45:H45"/>
    <mergeCell ref="C46:H46"/>
    <mergeCell ref="B35:J35"/>
    <mergeCell ref="B36:H36"/>
    <mergeCell ref="C37:H37"/>
    <mergeCell ref="C38:H38"/>
    <mergeCell ref="B39:H39"/>
    <mergeCell ref="B40:J40"/>
    <mergeCell ref="C53:H53"/>
    <mergeCell ref="C54:H54"/>
    <mergeCell ref="C55:H55"/>
    <mergeCell ref="C56:H56"/>
    <mergeCell ref="C57:H57"/>
    <mergeCell ref="B58:I58"/>
    <mergeCell ref="C47:H47"/>
    <mergeCell ref="C48:H48"/>
    <mergeCell ref="C49:H49"/>
    <mergeCell ref="B50:H50"/>
    <mergeCell ref="B51:J51"/>
    <mergeCell ref="B52:H52"/>
    <mergeCell ref="B65:I65"/>
    <mergeCell ref="B66:J66"/>
    <mergeCell ref="B67:J67"/>
    <mergeCell ref="C68:H68"/>
    <mergeCell ref="C69:H69"/>
    <mergeCell ref="C70:H70"/>
    <mergeCell ref="B59:J59"/>
    <mergeCell ref="B60:J60"/>
    <mergeCell ref="B61:I61"/>
    <mergeCell ref="C62:I62"/>
    <mergeCell ref="C63:I63"/>
    <mergeCell ref="C64:I64"/>
    <mergeCell ref="B77:J77"/>
    <mergeCell ref="B78:H78"/>
    <mergeCell ref="C79:H79"/>
    <mergeCell ref="C80:H80"/>
    <mergeCell ref="C81:H81"/>
    <mergeCell ref="C82:H82"/>
    <mergeCell ref="C71:H71"/>
    <mergeCell ref="C72:H72"/>
    <mergeCell ref="C73:H73"/>
    <mergeCell ref="B74:H74"/>
    <mergeCell ref="C75:J75"/>
    <mergeCell ref="B76:J76"/>
    <mergeCell ref="B89:H89"/>
    <mergeCell ref="B90:J90"/>
    <mergeCell ref="B91:J91"/>
    <mergeCell ref="B92:I92"/>
    <mergeCell ref="C93:I93"/>
    <mergeCell ref="C94:I94"/>
    <mergeCell ref="C83:H83"/>
    <mergeCell ref="C84:H84"/>
    <mergeCell ref="B85:H85"/>
    <mergeCell ref="B86:J86"/>
    <mergeCell ref="B87:H87"/>
    <mergeCell ref="C88:H88"/>
    <mergeCell ref="C101:H101"/>
    <mergeCell ref="C102:H102"/>
    <mergeCell ref="B103:H103"/>
    <mergeCell ref="B104:J104"/>
    <mergeCell ref="B105:J105"/>
    <mergeCell ref="C106:H106"/>
    <mergeCell ref="B95:I95"/>
    <mergeCell ref="B96:J96"/>
    <mergeCell ref="B97:J97"/>
    <mergeCell ref="C98:H98"/>
    <mergeCell ref="C99:H99"/>
    <mergeCell ref="C100:H100"/>
    <mergeCell ref="B113:H113"/>
    <mergeCell ref="C114:J114"/>
    <mergeCell ref="C115:H115"/>
    <mergeCell ref="C116:H116"/>
    <mergeCell ref="C118:H118"/>
    <mergeCell ref="C120:H120"/>
    <mergeCell ref="C107:H107"/>
    <mergeCell ref="C108:H108"/>
    <mergeCell ref="C109:H109"/>
    <mergeCell ref="C110:H110"/>
    <mergeCell ref="C111:H111"/>
    <mergeCell ref="C112:H112"/>
    <mergeCell ref="B134:I134"/>
    <mergeCell ref="C129:I129"/>
    <mergeCell ref="C130:I130"/>
    <mergeCell ref="C131:I131"/>
    <mergeCell ref="C132:I132"/>
    <mergeCell ref="B133:I133"/>
    <mergeCell ref="C122:H122"/>
    <mergeCell ref="B124:J124"/>
    <mergeCell ref="B125:I125"/>
    <mergeCell ref="C126:I126"/>
    <mergeCell ref="C127:I127"/>
    <mergeCell ref="C128:I128"/>
  </mergeCells>
  <pageMargins left="0.51181102362204722" right="0.51181102362204722" top="0.78740157480314965" bottom="0.78740157480314965" header="0.31496062992125984" footer="0.31496062992125984"/>
  <pageSetup paperSize="9" scale="64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EB29F-45B5-4CBD-B8F7-8EF70C8EAC04}">
  <sheetPr>
    <pageSetUpPr fitToPage="1"/>
  </sheetPr>
  <dimension ref="B1:K54"/>
  <sheetViews>
    <sheetView showGridLines="0" topLeftCell="A46" zoomScale="80" zoomScaleNormal="80" workbookViewId="0">
      <selection activeCell="I31" sqref="I31:I36"/>
    </sheetView>
  </sheetViews>
  <sheetFormatPr defaultColWidth="8.81640625" defaultRowHeight="14.5" x14ac:dyDescent="0.35"/>
  <cols>
    <col min="1" max="1" width="3.453125" customWidth="1"/>
    <col min="2" max="2" width="10.453125" customWidth="1"/>
    <col min="3" max="3" width="55.81640625" customWidth="1"/>
    <col min="8" max="8" width="9" bestFit="1" customWidth="1"/>
    <col min="9" max="9" width="16.7265625" bestFit="1" customWidth="1"/>
    <col min="10" max="10" width="25.453125" style="11" customWidth="1"/>
    <col min="11" max="11" width="11.81640625" bestFit="1" customWidth="1"/>
  </cols>
  <sheetData>
    <row r="1" spans="2:11" x14ac:dyDescent="0.35">
      <c r="B1" s="212"/>
      <c r="C1" s="212"/>
      <c r="D1" s="212"/>
      <c r="E1" s="212"/>
      <c r="F1" s="212"/>
      <c r="G1" s="212"/>
      <c r="H1" s="212"/>
      <c r="I1" s="212"/>
      <c r="J1" s="212"/>
    </row>
    <row r="2" spans="2:11" x14ac:dyDescent="0.35">
      <c r="B2" s="180" t="s">
        <v>143</v>
      </c>
      <c r="C2" s="180"/>
      <c r="D2" s="180"/>
      <c r="E2" s="180"/>
      <c r="F2" s="180"/>
      <c r="G2" s="180"/>
      <c r="H2" s="180"/>
      <c r="I2" s="180"/>
      <c r="J2" s="180"/>
    </row>
    <row r="3" spans="2:11" x14ac:dyDescent="0.35">
      <c r="B3" s="207" t="s">
        <v>144</v>
      </c>
      <c r="C3" s="207"/>
      <c r="D3" s="207" t="s">
        <v>145</v>
      </c>
      <c r="E3" s="207"/>
      <c r="F3" s="207" t="s">
        <v>271</v>
      </c>
      <c r="G3" s="207"/>
      <c r="H3" s="207"/>
      <c r="I3" s="207"/>
      <c r="J3" s="207"/>
    </row>
    <row r="4" spans="2:11" x14ac:dyDescent="0.35">
      <c r="B4" s="207" t="s">
        <v>272</v>
      </c>
      <c r="C4" s="207"/>
      <c r="D4" s="207" t="s">
        <v>268</v>
      </c>
      <c r="E4" s="207"/>
      <c r="F4" s="207">
        <v>36</v>
      </c>
      <c r="G4" s="207"/>
      <c r="H4" s="207"/>
      <c r="I4" s="207"/>
      <c r="J4" s="207"/>
    </row>
    <row r="5" spans="2:11" x14ac:dyDescent="0.35">
      <c r="B5" s="61"/>
      <c r="C5" s="59"/>
      <c r="D5" s="59"/>
      <c r="E5" s="59"/>
      <c r="F5" s="59"/>
      <c r="G5" s="59"/>
      <c r="H5" s="59"/>
      <c r="I5" s="61"/>
      <c r="J5" s="113"/>
    </row>
    <row r="6" spans="2:11" x14ac:dyDescent="0.35">
      <c r="B6" s="180" t="s">
        <v>273</v>
      </c>
      <c r="C6" s="180"/>
      <c r="D6" s="180"/>
      <c r="E6" s="180"/>
      <c r="F6" s="180"/>
      <c r="G6" s="180"/>
      <c r="H6" s="180"/>
      <c r="I6" s="180"/>
      <c r="J6" s="180"/>
    </row>
    <row r="7" spans="2:11" x14ac:dyDescent="0.35">
      <c r="B7" s="84">
        <v>1</v>
      </c>
      <c r="C7" s="200" t="s">
        <v>274</v>
      </c>
      <c r="D7" s="201"/>
      <c r="E7" s="201"/>
      <c r="F7" s="201"/>
      <c r="G7" s="201"/>
      <c r="H7" s="202"/>
      <c r="I7" s="207"/>
      <c r="J7" s="207"/>
    </row>
    <row r="8" spans="2:11" x14ac:dyDescent="0.35">
      <c r="B8" s="84">
        <v>2</v>
      </c>
      <c r="C8" s="200" t="s">
        <v>275</v>
      </c>
      <c r="D8" s="201"/>
      <c r="E8" s="201"/>
      <c r="F8" s="201"/>
      <c r="G8" s="201"/>
      <c r="H8" s="202"/>
      <c r="I8" s="207"/>
      <c r="J8" s="207"/>
    </row>
    <row r="9" spans="2:11" x14ac:dyDescent="0.35">
      <c r="B9" s="84">
        <v>3</v>
      </c>
      <c r="C9" s="200" t="s">
        <v>276</v>
      </c>
      <c r="D9" s="201"/>
      <c r="E9" s="201"/>
      <c r="F9" s="201"/>
      <c r="G9" s="201"/>
      <c r="H9" s="202"/>
      <c r="I9" s="209"/>
      <c r="J9" s="207"/>
    </row>
    <row r="10" spans="2:11" x14ac:dyDescent="0.35">
      <c r="B10" s="208"/>
      <c r="C10" s="208"/>
      <c r="D10" s="208"/>
      <c r="E10" s="208"/>
      <c r="F10" s="208"/>
      <c r="G10" s="208"/>
      <c r="H10" s="208"/>
      <c r="I10" s="208"/>
      <c r="J10" s="208"/>
    </row>
    <row r="11" spans="2:11" x14ac:dyDescent="0.35">
      <c r="B11" s="225" t="s">
        <v>290</v>
      </c>
      <c r="C11" s="226"/>
      <c r="D11" s="226"/>
      <c r="E11" s="226"/>
      <c r="F11" s="226"/>
      <c r="G11" s="226"/>
      <c r="H11" s="227"/>
      <c r="I11" s="108" t="s">
        <v>155</v>
      </c>
      <c r="J11" s="114" t="s">
        <v>156</v>
      </c>
    </row>
    <row r="12" spans="2:11" x14ac:dyDescent="0.35">
      <c r="B12" s="85" t="s">
        <v>135</v>
      </c>
      <c r="C12" s="176" t="s">
        <v>284</v>
      </c>
      <c r="D12" s="176"/>
      <c r="E12" s="176"/>
      <c r="F12" s="176"/>
      <c r="G12" s="176"/>
      <c r="H12" s="176"/>
      <c r="I12" s="86"/>
      <c r="J12" s="115">
        <f>ROUND($J$9*I12,2)</f>
        <v>0</v>
      </c>
    </row>
    <row r="13" spans="2:11" x14ac:dyDescent="0.35">
      <c r="B13" s="85" t="s">
        <v>137</v>
      </c>
      <c r="C13" s="176" t="s">
        <v>285</v>
      </c>
      <c r="D13" s="176"/>
      <c r="E13" s="176"/>
      <c r="F13" s="176"/>
      <c r="G13" s="176"/>
      <c r="H13" s="176"/>
      <c r="I13" s="89"/>
      <c r="J13" s="115">
        <f t="shared" ref="J13:J17" si="0">ROUND($J$9*I13,2)</f>
        <v>0</v>
      </c>
    </row>
    <row r="14" spans="2:11" x14ac:dyDescent="0.35">
      <c r="B14" s="85" t="s">
        <v>139</v>
      </c>
      <c r="C14" s="176" t="s">
        <v>286</v>
      </c>
      <c r="D14" s="176"/>
      <c r="E14" s="176"/>
      <c r="F14" s="176"/>
      <c r="G14" s="176"/>
      <c r="H14" s="176"/>
      <c r="I14" s="89"/>
      <c r="J14" s="115">
        <f t="shared" si="0"/>
        <v>0</v>
      </c>
    </row>
    <row r="15" spans="2:11" x14ac:dyDescent="0.35">
      <c r="B15" s="85" t="s">
        <v>141</v>
      </c>
      <c r="C15" s="176" t="s">
        <v>287</v>
      </c>
      <c r="D15" s="176"/>
      <c r="E15" s="176"/>
      <c r="F15" s="176"/>
      <c r="G15" s="176"/>
      <c r="H15" s="176"/>
      <c r="I15" s="89"/>
      <c r="J15" s="115">
        <f t="shared" si="0"/>
        <v>0</v>
      </c>
      <c r="K15" s="13"/>
    </row>
    <row r="16" spans="2:11" x14ac:dyDescent="0.35">
      <c r="B16" s="85" t="s">
        <v>163</v>
      </c>
      <c r="C16" s="176" t="s">
        <v>288</v>
      </c>
      <c r="D16" s="176"/>
      <c r="E16" s="176"/>
      <c r="F16" s="176"/>
      <c r="G16" s="176"/>
      <c r="H16" s="176"/>
      <c r="I16" s="89"/>
      <c r="J16" s="115">
        <f t="shared" si="0"/>
        <v>0</v>
      </c>
    </row>
    <row r="17" spans="2:10" x14ac:dyDescent="0.35">
      <c r="B17" s="85" t="s">
        <v>165</v>
      </c>
      <c r="C17" s="176" t="s">
        <v>166</v>
      </c>
      <c r="D17" s="176"/>
      <c r="E17" s="176"/>
      <c r="F17" s="176"/>
      <c r="G17" s="176"/>
      <c r="H17" s="176"/>
      <c r="I17" s="89"/>
      <c r="J17" s="115">
        <f t="shared" si="0"/>
        <v>0</v>
      </c>
    </row>
    <row r="18" spans="2:10" x14ac:dyDescent="0.35">
      <c r="B18" s="180" t="s">
        <v>167</v>
      </c>
      <c r="C18" s="180"/>
      <c r="D18" s="180"/>
      <c r="E18" s="180"/>
      <c r="F18" s="180"/>
      <c r="G18" s="180"/>
      <c r="H18" s="180"/>
      <c r="I18" s="111">
        <f>SUM(I12:I17)</f>
        <v>0</v>
      </c>
      <c r="J18" s="112">
        <f>SUM(J12:J17)</f>
        <v>0</v>
      </c>
    </row>
    <row r="19" spans="2:10" x14ac:dyDescent="0.35">
      <c r="B19" s="110"/>
      <c r="C19" s="110"/>
      <c r="D19" s="110"/>
      <c r="E19" s="110"/>
      <c r="F19" s="110"/>
      <c r="G19" s="110"/>
      <c r="H19" s="110"/>
      <c r="I19" s="110"/>
      <c r="J19" s="116"/>
    </row>
    <row r="20" spans="2:10" x14ac:dyDescent="0.35">
      <c r="B20" s="225" t="s">
        <v>390</v>
      </c>
      <c r="C20" s="226"/>
      <c r="D20" s="226"/>
      <c r="E20" s="226"/>
      <c r="F20" s="226"/>
      <c r="G20" s="226"/>
      <c r="H20" s="227"/>
      <c r="I20" s="108" t="s">
        <v>277</v>
      </c>
      <c r="J20" s="114" t="s">
        <v>156</v>
      </c>
    </row>
    <row r="21" spans="2:10" x14ac:dyDescent="0.35">
      <c r="B21" s="85" t="s">
        <v>135</v>
      </c>
      <c r="C21" s="176" t="s">
        <v>278</v>
      </c>
      <c r="D21" s="176"/>
      <c r="E21" s="176"/>
      <c r="F21" s="176"/>
      <c r="G21" s="176"/>
      <c r="H21" s="176"/>
      <c r="I21" s="86"/>
      <c r="J21" s="115"/>
    </row>
    <row r="22" spans="2:10" x14ac:dyDescent="0.35">
      <c r="B22" s="85" t="s">
        <v>137</v>
      </c>
      <c r="C22" s="176" t="s">
        <v>279</v>
      </c>
      <c r="D22" s="176"/>
      <c r="E22" s="176"/>
      <c r="F22" s="176"/>
      <c r="G22" s="176"/>
      <c r="H22" s="176"/>
      <c r="I22" s="89"/>
      <c r="J22" s="115"/>
    </row>
    <row r="23" spans="2:10" x14ac:dyDescent="0.35">
      <c r="B23" s="85" t="s">
        <v>139</v>
      </c>
      <c r="C23" s="176" t="s">
        <v>280</v>
      </c>
      <c r="D23" s="176"/>
      <c r="E23" s="176"/>
      <c r="F23" s="176"/>
      <c r="G23" s="176"/>
      <c r="H23" s="176"/>
      <c r="I23" s="89"/>
      <c r="J23" s="115"/>
    </row>
    <row r="24" spans="2:10" x14ac:dyDescent="0.35">
      <c r="B24" s="85" t="s">
        <v>141</v>
      </c>
      <c r="C24" s="176" t="s">
        <v>281</v>
      </c>
      <c r="D24" s="176"/>
      <c r="E24" s="176"/>
      <c r="F24" s="176"/>
      <c r="G24" s="176"/>
      <c r="H24" s="176"/>
      <c r="I24" s="89"/>
      <c r="J24" s="115"/>
    </row>
    <row r="25" spans="2:10" x14ac:dyDescent="0.35">
      <c r="B25" s="85" t="s">
        <v>163</v>
      </c>
      <c r="C25" s="176" t="s">
        <v>282</v>
      </c>
      <c r="D25" s="176"/>
      <c r="E25" s="176"/>
      <c r="F25" s="176"/>
      <c r="G25" s="176"/>
      <c r="H25" s="176"/>
      <c r="I25" s="89"/>
      <c r="J25" s="115"/>
    </row>
    <row r="26" spans="2:10" x14ac:dyDescent="0.35">
      <c r="B26" s="85" t="s">
        <v>165</v>
      </c>
      <c r="C26" s="176" t="s">
        <v>283</v>
      </c>
      <c r="D26" s="176"/>
      <c r="E26" s="176"/>
      <c r="F26" s="176"/>
      <c r="G26" s="176"/>
      <c r="H26" s="176"/>
      <c r="I26" s="89"/>
      <c r="J26" s="115"/>
    </row>
    <row r="27" spans="2:10" x14ac:dyDescent="0.35">
      <c r="B27" s="85" t="s">
        <v>168</v>
      </c>
      <c r="C27" s="176" t="s">
        <v>166</v>
      </c>
      <c r="D27" s="176"/>
      <c r="E27" s="176"/>
      <c r="F27" s="176"/>
      <c r="G27" s="176"/>
      <c r="H27" s="176"/>
      <c r="I27" s="84"/>
      <c r="J27" s="117"/>
    </row>
    <row r="28" spans="2:10" x14ac:dyDescent="0.35">
      <c r="B28" s="180" t="s">
        <v>172</v>
      </c>
      <c r="C28" s="180"/>
      <c r="D28" s="180"/>
      <c r="E28" s="180"/>
      <c r="F28" s="180"/>
      <c r="G28" s="180"/>
      <c r="H28" s="180"/>
      <c r="I28" s="111"/>
      <c r="J28" s="112">
        <f>SUM(J21:J27)</f>
        <v>0</v>
      </c>
    </row>
    <row r="29" spans="2:10" x14ac:dyDescent="0.35">
      <c r="B29" s="110"/>
      <c r="C29" s="110"/>
      <c r="D29" s="110"/>
      <c r="E29" s="110"/>
      <c r="F29" s="110"/>
      <c r="G29" s="110"/>
      <c r="H29" s="110"/>
      <c r="I29" s="110"/>
      <c r="J29" s="116"/>
    </row>
    <row r="30" spans="2:10" x14ac:dyDescent="0.35">
      <c r="B30" s="188" t="s">
        <v>289</v>
      </c>
      <c r="C30" s="188"/>
      <c r="D30" s="188"/>
      <c r="E30" s="188"/>
      <c r="F30" s="188"/>
      <c r="G30" s="188"/>
      <c r="H30" s="188"/>
      <c r="I30" s="108" t="s">
        <v>155</v>
      </c>
      <c r="J30" s="114" t="s">
        <v>156</v>
      </c>
    </row>
    <row r="31" spans="2:10" x14ac:dyDescent="0.35">
      <c r="B31" s="85" t="s">
        <v>135</v>
      </c>
      <c r="C31" s="176" t="s">
        <v>177</v>
      </c>
      <c r="D31" s="176"/>
      <c r="E31" s="176"/>
      <c r="F31" s="176"/>
      <c r="G31" s="176"/>
      <c r="H31" s="176"/>
      <c r="I31" s="93"/>
      <c r="J31" s="115">
        <f>ROUND(((J51)*I31),2)</f>
        <v>0</v>
      </c>
    </row>
    <row r="32" spans="2:10" x14ac:dyDescent="0.35">
      <c r="B32" s="85" t="s">
        <v>137</v>
      </c>
      <c r="C32" s="176" t="s">
        <v>179</v>
      </c>
      <c r="D32" s="176"/>
      <c r="E32" s="176"/>
      <c r="F32" s="176"/>
      <c r="G32" s="176"/>
      <c r="H32" s="176"/>
      <c r="I32" s="93"/>
      <c r="J32" s="115">
        <f>ROUND(((J51+J31)*I32),2)</f>
        <v>0</v>
      </c>
    </row>
    <row r="33" spans="2:10" x14ac:dyDescent="0.35">
      <c r="B33" s="85" t="s">
        <v>139</v>
      </c>
      <c r="C33" s="184" t="s">
        <v>181</v>
      </c>
      <c r="D33" s="184"/>
      <c r="E33" s="184"/>
      <c r="F33" s="184"/>
      <c r="G33" s="184"/>
      <c r="H33" s="184"/>
      <c r="I33" s="89"/>
      <c r="J33" s="119"/>
    </row>
    <row r="34" spans="2:10" x14ac:dyDescent="0.35">
      <c r="B34" s="85" t="s">
        <v>182</v>
      </c>
      <c r="C34" s="176" t="s">
        <v>183</v>
      </c>
      <c r="D34" s="176"/>
      <c r="E34" s="176"/>
      <c r="F34" s="176"/>
      <c r="G34" s="176"/>
      <c r="H34" s="176"/>
      <c r="I34" s="94"/>
      <c r="J34" s="115">
        <f>ROUND(I34*((J$51+J$31+J$32)/(1-SUM(I$34:I$36))),2)</f>
        <v>0</v>
      </c>
    </row>
    <row r="35" spans="2:10" x14ac:dyDescent="0.35">
      <c r="B35" s="85" t="s">
        <v>185</v>
      </c>
      <c r="C35" s="176" t="s">
        <v>186</v>
      </c>
      <c r="D35" s="176"/>
      <c r="E35" s="176"/>
      <c r="F35" s="176"/>
      <c r="G35" s="176"/>
      <c r="H35" s="176"/>
      <c r="I35" s="94"/>
      <c r="J35" s="115">
        <f>ROUND(I35*((J$51+J$31+J$32)/(1-SUM(I$34:I$36))),2)</f>
        <v>0</v>
      </c>
    </row>
    <row r="36" spans="2:10" x14ac:dyDescent="0.35">
      <c r="B36" s="85" t="s">
        <v>188</v>
      </c>
      <c r="C36" s="176" t="s">
        <v>189</v>
      </c>
      <c r="D36" s="176"/>
      <c r="E36" s="176"/>
      <c r="F36" s="176"/>
      <c r="G36" s="176"/>
      <c r="H36" s="176"/>
      <c r="I36" s="94"/>
      <c r="J36" s="115">
        <f>ROUND(I36*((J$51+J$31+J$32)/(1-SUM(I$34:I$36))),2)</f>
        <v>0</v>
      </c>
    </row>
    <row r="37" spans="2:10" x14ac:dyDescent="0.35">
      <c r="B37" s="180" t="s">
        <v>176</v>
      </c>
      <c r="C37" s="180"/>
      <c r="D37" s="180"/>
      <c r="E37" s="180"/>
      <c r="F37" s="180"/>
      <c r="G37" s="180"/>
      <c r="H37" s="180"/>
      <c r="I37" s="111">
        <f>SUM(I31:I36)</f>
        <v>0</v>
      </c>
      <c r="J37" s="112">
        <f>SUM(J31:J36)</f>
        <v>0</v>
      </c>
    </row>
    <row r="38" spans="2:10" x14ac:dyDescent="0.35">
      <c r="B38" s="61"/>
      <c r="C38" s="181"/>
      <c r="D38" s="181"/>
      <c r="E38" s="181"/>
      <c r="F38" s="181"/>
      <c r="G38" s="181"/>
      <c r="H38" s="181"/>
      <c r="I38" s="181"/>
      <c r="J38" s="181"/>
    </row>
    <row r="39" spans="2:10" x14ac:dyDescent="0.35">
      <c r="B39" s="78" t="s">
        <v>191</v>
      </c>
      <c r="C39" s="182" t="s">
        <v>192</v>
      </c>
      <c r="D39" s="182"/>
      <c r="E39" s="182"/>
      <c r="F39" s="182"/>
      <c r="G39" s="182"/>
      <c r="H39" s="182"/>
      <c r="I39" s="79">
        <f>I34+I35+I36</f>
        <v>0</v>
      </c>
      <c r="J39" s="120"/>
    </row>
    <row r="40" spans="2:10" x14ac:dyDescent="0.35">
      <c r="B40" s="1"/>
      <c r="C40" s="183">
        <v>100</v>
      </c>
      <c r="D40" s="183"/>
      <c r="E40" s="183"/>
      <c r="F40" s="183"/>
      <c r="G40" s="183"/>
      <c r="H40" s="183"/>
      <c r="I40" s="107"/>
      <c r="J40" s="121"/>
    </row>
    <row r="41" spans="2:10" x14ac:dyDescent="0.35">
      <c r="B41" s="2"/>
      <c r="C41" s="60"/>
      <c r="D41" s="60"/>
      <c r="E41" s="60"/>
      <c r="F41" s="60"/>
      <c r="G41" s="60"/>
      <c r="H41" s="60"/>
      <c r="I41" s="107"/>
      <c r="J41" s="121"/>
    </row>
    <row r="42" spans="2:10" x14ac:dyDescent="0.35">
      <c r="B42" s="1" t="s">
        <v>193</v>
      </c>
      <c r="C42" s="183" t="s">
        <v>194</v>
      </c>
      <c r="D42" s="183"/>
      <c r="E42" s="183"/>
      <c r="F42" s="183"/>
      <c r="G42" s="183"/>
      <c r="H42" s="183"/>
      <c r="I42" s="107"/>
      <c r="J42" s="121">
        <f>J18+J28+J31+J32</f>
        <v>0</v>
      </c>
    </row>
    <row r="43" spans="2:10" x14ac:dyDescent="0.35">
      <c r="B43" s="1"/>
      <c r="C43" s="60"/>
      <c r="D43" s="60"/>
      <c r="E43" s="60"/>
      <c r="F43" s="60"/>
      <c r="G43" s="60"/>
      <c r="H43" s="60"/>
      <c r="I43" s="107"/>
      <c r="J43" s="121"/>
    </row>
    <row r="44" spans="2:10" x14ac:dyDescent="0.35">
      <c r="B44" s="1" t="s">
        <v>195</v>
      </c>
      <c r="C44" s="183" t="s">
        <v>196</v>
      </c>
      <c r="D44" s="183"/>
      <c r="E44" s="183"/>
      <c r="F44" s="183"/>
      <c r="G44" s="183"/>
      <c r="H44" s="183"/>
      <c r="I44" s="107"/>
      <c r="J44" s="121">
        <f>ROUND(J42/(1-I39),2)</f>
        <v>0</v>
      </c>
    </row>
    <row r="45" spans="2:10" x14ac:dyDescent="0.35">
      <c r="B45" s="1"/>
      <c r="C45" s="60"/>
      <c r="D45" s="60"/>
      <c r="E45" s="60"/>
      <c r="F45" s="60"/>
      <c r="G45" s="60"/>
      <c r="H45" s="60"/>
      <c r="I45" s="107"/>
      <c r="J45" s="121"/>
    </row>
    <row r="46" spans="2:10" x14ac:dyDescent="0.35">
      <c r="B46" s="3"/>
      <c r="C46" s="179" t="s">
        <v>197</v>
      </c>
      <c r="D46" s="179"/>
      <c r="E46" s="179"/>
      <c r="F46" s="179"/>
      <c r="G46" s="179"/>
      <c r="H46" s="179"/>
      <c r="I46" s="4"/>
      <c r="J46" s="122">
        <f>J44-J42</f>
        <v>0</v>
      </c>
    </row>
    <row r="47" spans="2:10" x14ac:dyDescent="0.35">
      <c r="B47" s="61"/>
      <c r="C47" s="61"/>
      <c r="D47" s="61"/>
      <c r="E47" s="61"/>
      <c r="F47" s="61"/>
      <c r="G47" s="61"/>
      <c r="H47" s="61"/>
      <c r="I47" s="61"/>
      <c r="J47" s="123"/>
    </row>
    <row r="48" spans="2:10" x14ac:dyDescent="0.35">
      <c r="B48" s="222" t="s">
        <v>391</v>
      </c>
      <c r="C48" s="223"/>
      <c r="D48" s="223"/>
      <c r="E48" s="223"/>
      <c r="F48" s="223"/>
      <c r="G48" s="223"/>
      <c r="H48" s="223"/>
      <c r="I48" s="224"/>
      <c r="J48" s="126" t="s">
        <v>156</v>
      </c>
    </row>
    <row r="49" spans="2:10" x14ac:dyDescent="0.35">
      <c r="B49" s="84" t="s">
        <v>135</v>
      </c>
      <c r="C49" s="176" t="str">
        <f>B11</f>
        <v>MÓDULO 1 - CUSTO FIXO MENSAL</v>
      </c>
      <c r="D49" s="176"/>
      <c r="E49" s="176"/>
      <c r="F49" s="176"/>
      <c r="G49" s="176"/>
      <c r="H49" s="176"/>
      <c r="I49" s="176"/>
      <c r="J49" s="115">
        <f>J18</f>
        <v>0</v>
      </c>
    </row>
    <row r="50" spans="2:10" x14ac:dyDescent="0.35">
      <c r="B50" s="84" t="s">
        <v>137</v>
      </c>
      <c r="C50" s="200" t="str">
        <f>B20</f>
        <v xml:space="preserve">MÓDULO 2 - CUSTO VARIÁVEL MENSAL (FRANQUIA 1.400) </v>
      </c>
      <c r="D50" s="201"/>
      <c r="E50" s="201"/>
      <c r="F50" s="201"/>
      <c r="G50" s="201"/>
      <c r="H50" s="201"/>
      <c r="I50" s="202"/>
      <c r="J50" s="115">
        <f>J28</f>
        <v>0</v>
      </c>
    </row>
    <row r="51" spans="2:10" x14ac:dyDescent="0.35">
      <c r="B51" s="85"/>
      <c r="C51" s="177" t="s">
        <v>200</v>
      </c>
      <c r="D51" s="177"/>
      <c r="E51" s="177"/>
      <c r="F51" s="177"/>
      <c r="G51" s="177"/>
      <c r="H51" s="177"/>
      <c r="I51" s="177"/>
      <c r="J51" s="118">
        <f>SUM(J49:J50)</f>
        <v>0</v>
      </c>
    </row>
    <row r="52" spans="2:10" x14ac:dyDescent="0.35">
      <c r="B52" s="84" t="s">
        <v>139</v>
      </c>
      <c r="C52" s="176" t="str">
        <f>B30</f>
        <v>MÓDULO 3 – CUSTOS INDIRETOS, TRIBUTOS E LUCRO</v>
      </c>
      <c r="D52" s="176"/>
      <c r="E52" s="176"/>
      <c r="F52" s="176"/>
      <c r="G52" s="176"/>
      <c r="H52" s="176"/>
      <c r="I52" s="176"/>
      <c r="J52" s="115">
        <f>J37</f>
        <v>0</v>
      </c>
    </row>
    <row r="53" spans="2:10" ht="18" x14ac:dyDescent="0.35">
      <c r="B53" s="178" t="s">
        <v>392</v>
      </c>
      <c r="C53" s="178"/>
      <c r="D53" s="178"/>
      <c r="E53" s="178"/>
      <c r="F53" s="178"/>
      <c r="G53" s="178"/>
      <c r="H53" s="178"/>
      <c r="I53" s="178"/>
      <c r="J53" s="124">
        <f>ROUND(J51+J52,2)</f>
        <v>0</v>
      </c>
    </row>
    <row r="54" spans="2:10" x14ac:dyDescent="0.35">
      <c r="B54" s="5"/>
      <c r="C54" s="5"/>
      <c r="D54" s="5"/>
      <c r="E54" s="5"/>
      <c r="F54" s="5"/>
      <c r="G54" s="5"/>
      <c r="H54" s="5"/>
      <c r="I54" s="5"/>
      <c r="J54" s="125"/>
    </row>
  </sheetData>
  <mergeCells count="53">
    <mergeCell ref="B1:J1"/>
    <mergeCell ref="B2:J2"/>
    <mergeCell ref="B3:C3"/>
    <mergeCell ref="D3:E3"/>
    <mergeCell ref="F3:J3"/>
    <mergeCell ref="B4:C4"/>
    <mergeCell ref="D4:E4"/>
    <mergeCell ref="F4:J4"/>
    <mergeCell ref="C15:H15"/>
    <mergeCell ref="B6:J6"/>
    <mergeCell ref="C7:H7"/>
    <mergeCell ref="I7:J7"/>
    <mergeCell ref="C8:H8"/>
    <mergeCell ref="I8:J8"/>
    <mergeCell ref="C9:H9"/>
    <mergeCell ref="I9:J9"/>
    <mergeCell ref="B10:J10"/>
    <mergeCell ref="B11:H11"/>
    <mergeCell ref="C12:H12"/>
    <mergeCell ref="C13:H13"/>
    <mergeCell ref="C14:H14"/>
    <mergeCell ref="B28:H28"/>
    <mergeCell ref="C16:H16"/>
    <mergeCell ref="C17:H17"/>
    <mergeCell ref="B18:H18"/>
    <mergeCell ref="B20:H20"/>
    <mergeCell ref="C21:H21"/>
    <mergeCell ref="C22:H22"/>
    <mergeCell ref="C23:H23"/>
    <mergeCell ref="C24:H24"/>
    <mergeCell ref="C25:H25"/>
    <mergeCell ref="C26:H26"/>
    <mergeCell ref="C27:H27"/>
    <mergeCell ref="C42:H42"/>
    <mergeCell ref="B30:H30"/>
    <mergeCell ref="C31:H31"/>
    <mergeCell ref="C32:H32"/>
    <mergeCell ref="C33:H33"/>
    <mergeCell ref="C34:H34"/>
    <mergeCell ref="C35:H35"/>
    <mergeCell ref="C36:H36"/>
    <mergeCell ref="B37:H37"/>
    <mergeCell ref="C38:J38"/>
    <mergeCell ref="C39:H39"/>
    <mergeCell ref="C40:H40"/>
    <mergeCell ref="C52:I52"/>
    <mergeCell ref="B53:I53"/>
    <mergeCell ref="C44:H44"/>
    <mergeCell ref="C46:H46"/>
    <mergeCell ref="B48:I48"/>
    <mergeCell ref="C49:I49"/>
    <mergeCell ref="C50:I50"/>
    <mergeCell ref="C51:I51"/>
  </mergeCells>
  <pageMargins left="0.51181102362204722" right="0.51181102362204722" top="0.78740157480314965" bottom="0.78740157480314965" header="0.31496062992125984" footer="0.31496062992125984"/>
  <pageSetup paperSize="9" scale="64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7526A-8FAB-4C26-9CC7-6C4178A9822D}">
  <sheetPr>
    <pageSetUpPr fitToPage="1"/>
  </sheetPr>
  <dimension ref="B1:J22"/>
  <sheetViews>
    <sheetView showGridLines="0" topLeftCell="A19" zoomScale="80" zoomScaleNormal="80" workbookViewId="0">
      <selection activeCell="R27" sqref="R27"/>
    </sheetView>
  </sheetViews>
  <sheetFormatPr defaultColWidth="8.81640625" defaultRowHeight="14.5" x14ac:dyDescent="0.35"/>
  <cols>
    <col min="1" max="1" width="3.453125" customWidth="1"/>
    <col min="2" max="2" width="10.453125" customWidth="1"/>
    <col min="3" max="3" width="55.81640625" customWidth="1"/>
    <col min="8" max="8" width="9" bestFit="1" customWidth="1"/>
    <col min="9" max="9" width="16.7265625" bestFit="1" customWidth="1"/>
    <col min="10" max="10" width="25.453125" style="11" customWidth="1"/>
    <col min="11" max="11" width="11.81640625" bestFit="1" customWidth="1"/>
  </cols>
  <sheetData>
    <row r="1" spans="2:10" x14ac:dyDescent="0.35">
      <c r="B1" s="212"/>
      <c r="C1" s="212"/>
      <c r="D1" s="212"/>
      <c r="E1" s="212"/>
      <c r="F1" s="212"/>
      <c r="G1" s="212"/>
      <c r="H1" s="212"/>
      <c r="I1" s="212"/>
      <c r="J1" s="212"/>
    </row>
    <row r="2" spans="2:10" x14ac:dyDescent="0.35">
      <c r="B2" s="180" t="s">
        <v>143</v>
      </c>
      <c r="C2" s="180"/>
      <c r="D2" s="180"/>
      <c r="E2" s="180"/>
      <c r="F2" s="180"/>
      <c r="G2" s="180"/>
      <c r="H2" s="180"/>
      <c r="I2" s="180"/>
      <c r="J2" s="180"/>
    </row>
    <row r="3" spans="2:10" x14ac:dyDescent="0.35">
      <c r="B3" s="207" t="s">
        <v>144</v>
      </c>
      <c r="C3" s="207"/>
      <c r="D3" s="207" t="s">
        <v>145</v>
      </c>
      <c r="E3" s="207"/>
      <c r="F3" s="207" t="s">
        <v>271</v>
      </c>
      <c r="G3" s="207"/>
      <c r="H3" s="207"/>
      <c r="I3" s="207"/>
      <c r="J3" s="207"/>
    </row>
    <row r="4" spans="2:10" x14ac:dyDescent="0.35">
      <c r="B4" s="207" t="s">
        <v>395</v>
      </c>
      <c r="C4" s="207"/>
      <c r="D4" s="207" t="s">
        <v>269</v>
      </c>
      <c r="E4" s="207"/>
      <c r="F4" s="207">
        <v>36000</v>
      </c>
      <c r="G4" s="207"/>
      <c r="H4" s="207"/>
      <c r="I4" s="207"/>
      <c r="J4" s="207"/>
    </row>
    <row r="5" spans="2:10" x14ac:dyDescent="0.35">
      <c r="B5" s="61"/>
      <c r="C5" s="59"/>
      <c r="D5" s="59"/>
      <c r="E5" s="59"/>
      <c r="F5" s="59"/>
      <c r="G5" s="59"/>
      <c r="H5" s="59"/>
      <c r="I5" s="61"/>
      <c r="J5" s="113"/>
    </row>
    <row r="6" spans="2:10" x14ac:dyDescent="0.35">
      <c r="B6" s="225" t="s">
        <v>396</v>
      </c>
      <c r="C6" s="226"/>
      <c r="D6" s="226"/>
      <c r="E6" s="226"/>
      <c r="F6" s="226"/>
      <c r="G6" s="226"/>
      <c r="H6" s="227"/>
      <c r="I6" s="108" t="s">
        <v>277</v>
      </c>
      <c r="J6" s="114" t="s">
        <v>156</v>
      </c>
    </row>
    <row r="7" spans="2:10" x14ac:dyDescent="0.35">
      <c r="B7" s="85" t="s">
        <v>135</v>
      </c>
      <c r="C7" s="176" t="s">
        <v>394</v>
      </c>
      <c r="D7" s="176"/>
      <c r="E7" s="176"/>
      <c r="F7" s="176"/>
      <c r="G7" s="176"/>
      <c r="H7" s="176"/>
      <c r="I7" s="86" t="s">
        <v>393</v>
      </c>
      <c r="J7" s="115">
        <f>'Veículo - Franquia'!J28/1400</f>
        <v>0</v>
      </c>
    </row>
    <row r="8" spans="2:10" x14ac:dyDescent="0.35">
      <c r="B8" s="180" t="s">
        <v>172</v>
      </c>
      <c r="C8" s="180"/>
      <c r="D8" s="180"/>
      <c r="E8" s="180"/>
      <c r="F8" s="180"/>
      <c r="G8" s="180"/>
      <c r="H8" s="180"/>
      <c r="I8" s="111"/>
      <c r="J8" s="112">
        <f>SUM(J7:J7)</f>
        <v>0</v>
      </c>
    </row>
    <row r="9" spans="2:10" x14ac:dyDescent="0.35">
      <c r="B9" s="110"/>
      <c r="C9" s="110"/>
      <c r="D9" s="110"/>
      <c r="E9" s="110"/>
      <c r="F9" s="110"/>
      <c r="G9" s="110"/>
      <c r="H9" s="110"/>
      <c r="I9" s="110"/>
      <c r="J9" s="116"/>
    </row>
    <row r="10" spans="2:10" x14ac:dyDescent="0.35">
      <c r="B10" s="188" t="s">
        <v>397</v>
      </c>
      <c r="C10" s="188"/>
      <c r="D10" s="188"/>
      <c r="E10" s="188"/>
      <c r="F10" s="188"/>
      <c r="G10" s="188"/>
      <c r="H10" s="188"/>
      <c r="I10" s="108" t="s">
        <v>155</v>
      </c>
      <c r="J10" s="114" t="s">
        <v>156</v>
      </c>
    </row>
    <row r="11" spans="2:10" x14ac:dyDescent="0.35">
      <c r="B11" s="85" t="s">
        <v>135</v>
      </c>
      <c r="C11" s="176" t="s">
        <v>177</v>
      </c>
      <c r="D11" s="176"/>
      <c r="E11" s="176"/>
      <c r="F11" s="176"/>
      <c r="G11" s="176"/>
      <c r="H11" s="176"/>
      <c r="I11" s="93">
        <f>'Veículo - Franquia'!I31</f>
        <v>0</v>
      </c>
      <c r="J11" s="115">
        <f>ROUND(((J8)*I11),2)</f>
        <v>0</v>
      </c>
    </row>
    <row r="12" spans="2:10" x14ac:dyDescent="0.35">
      <c r="B12" s="85" t="s">
        <v>137</v>
      </c>
      <c r="C12" s="176" t="s">
        <v>179</v>
      </c>
      <c r="D12" s="176"/>
      <c r="E12" s="176"/>
      <c r="F12" s="176"/>
      <c r="G12" s="176"/>
      <c r="H12" s="176"/>
      <c r="I12" s="93">
        <f>'Veículo - Franquia'!I32</f>
        <v>0</v>
      </c>
      <c r="J12" s="115">
        <f>ROUND(((J8+J11)*I12),2)</f>
        <v>0</v>
      </c>
    </row>
    <row r="13" spans="2:10" x14ac:dyDescent="0.35">
      <c r="B13" s="85" t="s">
        <v>139</v>
      </c>
      <c r="C13" s="184" t="s">
        <v>181</v>
      </c>
      <c r="D13" s="184"/>
      <c r="E13" s="184"/>
      <c r="F13" s="184"/>
      <c r="G13" s="184"/>
      <c r="H13" s="184"/>
      <c r="I13" s="93">
        <f>'Veículo - Franquia'!I33</f>
        <v>0</v>
      </c>
      <c r="J13" s="119"/>
    </row>
    <row r="14" spans="2:10" x14ac:dyDescent="0.35">
      <c r="B14" s="85" t="s">
        <v>182</v>
      </c>
      <c r="C14" s="176" t="s">
        <v>183</v>
      </c>
      <c r="D14" s="176"/>
      <c r="E14" s="176"/>
      <c r="F14" s="176"/>
      <c r="G14" s="176"/>
      <c r="H14" s="176"/>
      <c r="I14" s="93">
        <f>'Veículo - Franquia'!I34</f>
        <v>0</v>
      </c>
      <c r="J14" s="115">
        <f>ROUND(I14*(J$20+J$11+J$12)/(1-SUM(I$14:I$16)),2)</f>
        <v>0</v>
      </c>
    </row>
    <row r="15" spans="2:10" x14ac:dyDescent="0.35">
      <c r="B15" s="85" t="s">
        <v>185</v>
      </c>
      <c r="C15" s="176" t="s">
        <v>186</v>
      </c>
      <c r="D15" s="176"/>
      <c r="E15" s="176"/>
      <c r="F15" s="176"/>
      <c r="G15" s="176"/>
      <c r="H15" s="176"/>
      <c r="I15" s="93">
        <f>'Veículo - Franquia'!I35</f>
        <v>0</v>
      </c>
      <c r="J15" s="115">
        <f>ROUND(I15*(J$20+J$11+J$12)/(1-SUM(I$14:I$16)),2)</f>
        <v>0</v>
      </c>
    </row>
    <row r="16" spans="2:10" x14ac:dyDescent="0.35">
      <c r="B16" s="85" t="s">
        <v>188</v>
      </c>
      <c r="C16" s="176" t="s">
        <v>189</v>
      </c>
      <c r="D16" s="176"/>
      <c r="E16" s="176"/>
      <c r="F16" s="176"/>
      <c r="G16" s="176"/>
      <c r="H16" s="176"/>
      <c r="I16" s="93">
        <f>'Veículo - Franquia'!I36</f>
        <v>0</v>
      </c>
      <c r="J16" s="115">
        <f>ROUND(I16*(J$20+J$11+J$12)/(1-SUM(I$14:I$16)),2)</f>
        <v>0</v>
      </c>
    </row>
    <row r="17" spans="2:10" x14ac:dyDescent="0.35">
      <c r="B17" s="180" t="s">
        <v>176</v>
      </c>
      <c r="C17" s="180"/>
      <c r="D17" s="180"/>
      <c r="E17" s="180"/>
      <c r="F17" s="180"/>
      <c r="G17" s="180"/>
      <c r="H17" s="180"/>
      <c r="I17" s="111">
        <f>SUM(I11:I16)</f>
        <v>0</v>
      </c>
      <c r="J17" s="112">
        <f>SUM(J11:J16)</f>
        <v>0</v>
      </c>
    </row>
    <row r="19" spans="2:10" x14ac:dyDescent="0.35">
      <c r="B19" s="222" t="s">
        <v>391</v>
      </c>
      <c r="C19" s="223"/>
      <c r="D19" s="223"/>
      <c r="E19" s="223"/>
      <c r="F19" s="223"/>
      <c r="G19" s="223"/>
      <c r="H19" s="223"/>
      <c r="I19" s="224"/>
      <c r="J19" s="126" t="s">
        <v>156</v>
      </c>
    </row>
    <row r="20" spans="2:10" x14ac:dyDescent="0.35">
      <c r="B20" s="84" t="s">
        <v>135</v>
      </c>
      <c r="C20" s="176" t="str">
        <f>B6</f>
        <v>MÓDULO 1 - CUSTO VARIÁVEL POR KM</v>
      </c>
      <c r="D20" s="176"/>
      <c r="E20" s="176"/>
      <c r="F20" s="176"/>
      <c r="G20" s="176"/>
      <c r="H20" s="176"/>
      <c r="I20" s="176"/>
      <c r="J20" s="115">
        <f>J8</f>
        <v>0</v>
      </c>
    </row>
    <row r="21" spans="2:10" x14ac:dyDescent="0.35">
      <c r="B21" s="84" t="s">
        <v>137</v>
      </c>
      <c r="C21" s="176" t="str">
        <f>B10</f>
        <v>MÓDULO 2 – CUSTOS INDIRETOS, TRIBUTOS E LUCRO (KM EXCEDENTE)</v>
      </c>
      <c r="D21" s="176"/>
      <c r="E21" s="176"/>
      <c r="F21" s="176"/>
      <c r="G21" s="176"/>
      <c r="H21" s="176"/>
      <c r="I21" s="176"/>
      <c r="J21" s="115">
        <f>J17</f>
        <v>0</v>
      </c>
    </row>
    <row r="22" spans="2:10" ht="18" x14ac:dyDescent="0.35">
      <c r="B22" s="178" t="s">
        <v>398</v>
      </c>
      <c r="C22" s="178"/>
      <c r="D22" s="178"/>
      <c r="E22" s="178"/>
      <c r="F22" s="178"/>
      <c r="G22" s="178"/>
      <c r="H22" s="178"/>
      <c r="I22" s="178"/>
      <c r="J22" s="124">
        <f>J20+J21</f>
        <v>0</v>
      </c>
    </row>
  </sheetData>
  <mergeCells count="23">
    <mergeCell ref="B1:J1"/>
    <mergeCell ref="B4:C4"/>
    <mergeCell ref="D4:E4"/>
    <mergeCell ref="F4:J4"/>
    <mergeCell ref="B8:H8"/>
    <mergeCell ref="B10:H10"/>
    <mergeCell ref="B6:H6"/>
    <mergeCell ref="C7:H7"/>
    <mergeCell ref="B2:J2"/>
    <mergeCell ref="B3:C3"/>
    <mergeCell ref="D3:E3"/>
    <mergeCell ref="F3:J3"/>
    <mergeCell ref="C11:H11"/>
    <mergeCell ref="C12:H12"/>
    <mergeCell ref="C13:H13"/>
    <mergeCell ref="C14:H14"/>
    <mergeCell ref="C15:H15"/>
    <mergeCell ref="C21:I21"/>
    <mergeCell ref="B22:I22"/>
    <mergeCell ref="C16:H16"/>
    <mergeCell ref="B17:H17"/>
    <mergeCell ref="B19:I19"/>
    <mergeCell ref="C20:I20"/>
  </mergeCells>
  <pageMargins left="0.51181102362204722" right="0.51181102362204722" top="0.78740157480314965" bottom="0.78740157480314965" header="0.31496062992125984" footer="0.31496062992125984"/>
  <pageSetup paperSize="9" scale="64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E95AC-551C-43E4-AD8D-BF7A6C9503DA}">
  <sheetPr>
    <pageSetUpPr fitToPage="1"/>
  </sheetPr>
  <dimension ref="B3:G22"/>
  <sheetViews>
    <sheetView showGridLines="0" workbookViewId="0">
      <selection activeCell="E24" sqref="E24"/>
    </sheetView>
  </sheetViews>
  <sheetFormatPr defaultRowHeight="14.5" x14ac:dyDescent="0.35"/>
  <cols>
    <col min="2" max="2" width="19.54296875" bestFit="1" customWidth="1"/>
    <col min="3" max="3" width="13.453125" customWidth="1"/>
    <col min="4" max="4" width="17.1796875" customWidth="1"/>
    <col min="5" max="5" width="16" customWidth="1"/>
    <col min="6" max="6" width="10.81640625" bestFit="1" customWidth="1"/>
    <col min="7" max="7" width="19.453125" customWidth="1"/>
    <col min="10" max="10" width="9.54296875" bestFit="1" customWidth="1"/>
  </cols>
  <sheetData>
    <row r="3" spans="2:7" ht="15" thickBot="1" x14ac:dyDescent="0.4"/>
    <row r="4" spans="2:7" ht="15.5" thickTop="1" thickBot="1" x14ac:dyDescent="0.4">
      <c r="B4" s="232" t="s">
        <v>231</v>
      </c>
      <c r="C4" s="232"/>
      <c r="D4" s="232"/>
      <c r="E4" s="232"/>
      <c r="F4" s="232"/>
      <c r="G4" s="232"/>
    </row>
    <row r="5" spans="2:7" ht="15.5" thickTop="1" thickBot="1" x14ac:dyDescent="0.4"/>
    <row r="6" spans="2:7" ht="15" thickTop="1" x14ac:dyDescent="0.35">
      <c r="B6" s="228" t="s">
        <v>44</v>
      </c>
      <c r="C6" s="228"/>
      <c r="D6" s="228"/>
      <c r="E6" s="228"/>
      <c r="F6" s="228"/>
      <c r="G6" s="228"/>
    </row>
    <row r="7" spans="2:7" ht="43.5" x14ac:dyDescent="0.35">
      <c r="B7" s="95" t="s">
        <v>230</v>
      </c>
      <c r="C7" s="95" t="s">
        <v>232</v>
      </c>
      <c r="D7" s="96" t="s">
        <v>233</v>
      </c>
      <c r="E7" s="96" t="s">
        <v>234</v>
      </c>
      <c r="F7" s="96" t="s">
        <v>235</v>
      </c>
      <c r="G7" s="96" t="s">
        <v>236</v>
      </c>
    </row>
    <row r="8" spans="2:7" x14ac:dyDescent="0.35">
      <c r="B8" s="50" t="s">
        <v>237</v>
      </c>
      <c r="C8" s="51" t="s">
        <v>238</v>
      </c>
      <c r="D8" s="52">
        <v>2</v>
      </c>
      <c r="E8" s="52">
        <v>60</v>
      </c>
      <c r="F8" s="53">
        <f>'Pesquisa de preço'!H38</f>
        <v>1444.6733333333334</v>
      </c>
      <c r="G8" s="53">
        <f>ROUND((F8*D8)/E8,2)</f>
        <v>48.16</v>
      </c>
    </row>
    <row r="9" spans="2:7" x14ac:dyDescent="0.35">
      <c r="B9" s="230" t="s">
        <v>239</v>
      </c>
      <c r="C9" s="230"/>
      <c r="D9" s="230"/>
      <c r="E9" s="230"/>
      <c r="F9" s="230"/>
      <c r="G9" s="97">
        <f>ROUND(SUM(G8:G8),2)</f>
        <v>48.16</v>
      </c>
    </row>
    <row r="10" spans="2:7" ht="15" thickBot="1" x14ac:dyDescent="0.4">
      <c r="B10" s="231" t="s">
        <v>240</v>
      </c>
      <c r="C10" s="231"/>
      <c r="D10" s="231"/>
      <c r="E10" s="231"/>
      <c r="F10" s="231"/>
      <c r="G10" s="54">
        <f>ROUND(G9/22,2)</f>
        <v>2.19</v>
      </c>
    </row>
    <row r="11" spans="2:7" ht="15" thickTop="1" x14ac:dyDescent="0.35"/>
    <row r="12" spans="2:7" ht="15" thickBot="1" x14ac:dyDescent="0.4"/>
    <row r="13" spans="2:7" ht="15" thickTop="1" x14ac:dyDescent="0.35">
      <c r="B13" s="228" t="s">
        <v>241</v>
      </c>
      <c r="C13" s="228"/>
      <c r="D13" s="228"/>
      <c r="E13" s="228"/>
      <c r="F13" s="228"/>
      <c r="G13" s="228"/>
    </row>
    <row r="14" spans="2:7" ht="43.5" x14ac:dyDescent="0.35">
      <c r="B14" s="82" t="s">
        <v>242</v>
      </c>
      <c r="C14" s="82" t="s">
        <v>243</v>
      </c>
      <c r="D14" s="82" t="s">
        <v>244</v>
      </c>
      <c r="E14" s="82" t="s">
        <v>245</v>
      </c>
      <c r="F14" s="82" t="s">
        <v>246</v>
      </c>
      <c r="G14" s="82" t="s">
        <v>247</v>
      </c>
    </row>
    <row r="15" spans="2:7" x14ac:dyDescent="0.35">
      <c r="B15" s="49">
        <v>300</v>
      </c>
      <c r="C15" s="49">
        <f>30000/4</f>
        <v>7500</v>
      </c>
      <c r="D15" s="49">
        <f>22*4</f>
        <v>88</v>
      </c>
      <c r="E15" s="49">
        <f>ROUND(C15/D15/30,0)</f>
        <v>3</v>
      </c>
      <c r="F15" s="49">
        <v>30</v>
      </c>
      <c r="G15" s="49">
        <f>F15/E15</f>
        <v>10</v>
      </c>
    </row>
    <row r="16" spans="2:7" x14ac:dyDescent="0.35">
      <c r="B16" s="230" t="s">
        <v>239</v>
      </c>
      <c r="C16" s="230"/>
      <c r="D16" s="230"/>
      <c r="E16" s="230"/>
      <c r="F16" s="230"/>
      <c r="G16" s="97">
        <f>ROUND((1+(4/6))*'Pesquisa de preço'!H49,2)</f>
        <v>339.89</v>
      </c>
    </row>
    <row r="17" spans="2:7" ht="15" thickBot="1" x14ac:dyDescent="0.4">
      <c r="B17" s="231" t="s">
        <v>240</v>
      </c>
      <c r="C17" s="231"/>
      <c r="D17" s="231"/>
      <c r="E17" s="231"/>
      <c r="F17" s="231"/>
      <c r="G17" s="54">
        <f>ROUND(G16/22/30,2)</f>
        <v>0.51</v>
      </c>
    </row>
    <row r="18" spans="2:7" ht="15" thickTop="1" x14ac:dyDescent="0.35"/>
    <row r="19" spans="2:7" ht="15" thickBot="1" x14ac:dyDescent="0.4"/>
    <row r="20" spans="2:7" ht="15" thickTop="1" x14ac:dyDescent="0.35">
      <c r="B20" s="228" t="s">
        <v>27</v>
      </c>
      <c r="C20" s="228"/>
      <c r="D20" s="228"/>
      <c r="E20" s="228"/>
      <c r="F20" s="228"/>
      <c r="G20" s="228"/>
    </row>
    <row r="21" spans="2:7" ht="15" thickBot="1" x14ac:dyDescent="0.4">
      <c r="B21" s="229" t="s">
        <v>240</v>
      </c>
      <c r="C21" s="229"/>
      <c r="D21" s="229"/>
      <c r="E21" s="229"/>
      <c r="F21" s="229"/>
      <c r="G21" s="98">
        <f>'Pesquisa de preço'!H21</f>
        <v>3.2871428571428574</v>
      </c>
    </row>
    <row r="22" spans="2:7" ht="15" thickTop="1" x14ac:dyDescent="0.35"/>
  </sheetData>
  <mergeCells count="9">
    <mergeCell ref="B20:G20"/>
    <mergeCell ref="B21:F21"/>
    <mergeCell ref="B9:F9"/>
    <mergeCell ref="B10:F10"/>
    <mergeCell ref="B4:G4"/>
    <mergeCell ref="B6:G6"/>
    <mergeCell ref="B13:G13"/>
    <mergeCell ref="B16:F16"/>
    <mergeCell ref="B17:F17"/>
  </mergeCells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F23B6EBB641048A129840DA94BE7C6" ma:contentTypeVersion="13" ma:contentTypeDescription="Crie um novo documento." ma:contentTypeScope="" ma:versionID="8268156721a2091a392571b16b562e4e">
  <xsd:schema xmlns:xsd="http://www.w3.org/2001/XMLSchema" xmlns:xs="http://www.w3.org/2001/XMLSchema" xmlns:p="http://schemas.microsoft.com/office/2006/metadata/properties" xmlns:ns2="1398a9c8-d3f7-48e1-8bdc-33511411cfeb" xmlns:ns3="c5c3a1dc-01f3-4a13-9c2b-7ada1a893776" targetNamespace="http://schemas.microsoft.com/office/2006/metadata/properties" ma:root="true" ma:fieldsID="c1a4fe3ceb7977412cea480345cd0b29" ns2:_="" ns3:_="">
    <xsd:import namespace="1398a9c8-d3f7-48e1-8bdc-33511411cfeb"/>
    <xsd:import namespace="c5c3a1dc-01f3-4a13-9c2b-7ada1a8937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8a9c8-d3f7-48e1-8bdc-33511411cf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affb6ac-fb53-4e05-9b81-1805607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3a1dc-01f3-4a13-9c2b-7ada1a89377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c712f317-93d8-4fb5-be1e-5eddb1e16497}" ma:internalName="TaxCatchAll" ma:showField="CatchAllData" ma:web="c5c3a1dc-01f3-4a13-9c2b-7ada1a8937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98a9c8-d3f7-48e1-8bdc-33511411cfeb">
      <Terms xmlns="http://schemas.microsoft.com/office/infopath/2007/PartnerControls"/>
    </lcf76f155ced4ddcb4097134ff3c332f>
    <TaxCatchAll xmlns="c5c3a1dc-01f3-4a13-9c2b-7ada1a893776" xsi:nil="true"/>
  </documentManagement>
</p:properties>
</file>

<file path=customXml/itemProps1.xml><?xml version="1.0" encoding="utf-8"?>
<ds:datastoreItem xmlns:ds="http://schemas.openxmlformats.org/officeDocument/2006/customXml" ds:itemID="{F816CEC0-4619-4CED-B909-5640DA8CD5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9EEFD4-B906-4DD0-9C78-412EE8CE9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98a9c8-d3f7-48e1-8bdc-33511411cfeb"/>
    <ds:schemaRef ds:uri="c5c3a1dc-01f3-4a13-9c2b-7ada1a8937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B989E3-52BF-45D6-BA62-7DC65630FDE0}">
  <ds:schemaRefs>
    <ds:schemaRef ds:uri="http://schemas.microsoft.com/office/2006/metadata/properties"/>
    <ds:schemaRef ds:uri="http://schemas.microsoft.com/office/infopath/2007/PartnerControls"/>
    <ds:schemaRef ds:uri="1398a9c8-d3f7-48e1-8bdc-33511411cfeb"/>
    <ds:schemaRef ds:uri="c5c3a1dc-01f3-4a13-9c2b-7ada1a89377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5</vt:i4>
      </vt:variant>
    </vt:vector>
  </HeadingPairs>
  <TitlesOfParts>
    <vt:vector size="13" baseType="lpstr">
      <vt:lpstr>Pesquisa de preço</vt:lpstr>
      <vt:lpstr>Orçamento Estimado</vt:lpstr>
      <vt:lpstr>Valor Ref. Manut. AC</vt:lpstr>
      <vt:lpstr>Motorista Executivo</vt:lpstr>
      <vt:lpstr>Motorista Executivo-Hora Extra</vt:lpstr>
      <vt:lpstr>Veículo - Franquia</vt:lpstr>
      <vt:lpstr>Veículo - KM Excedente</vt:lpstr>
      <vt:lpstr>Valores Referenciais</vt:lpstr>
      <vt:lpstr>'Motorista Executivo'!Area_de_impressao</vt:lpstr>
      <vt:lpstr>'Motorista Executivo-Hora Extra'!Area_de_impressao</vt:lpstr>
      <vt:lpstr>'Orçamento Estimado'!Area_de_impressao</vt:lpstr>
      <vt:lpstr>'Veículo - Franquia'!Area_de_impressao</vt:lpstr>
      <vt:lpstr>'Veículo - KM Excedente'!Area_de_impressao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gisele.oliveira</dc:creator>
  <cp:keywords/>
  <dc:description/>
  <cp:lastModifiedBy>Gisele Aparecida Goncalves de Oliveira</cp:lastModifiedBy>
  <cp:revision/>
  <dcterms:created xsi:type="dcterms:W3CDTF">2011-07-13T17:15:58Z</dcterms:created>
  <dcterms:modified xsi:type="dcterms:W3CDTF">2025-11-04T13:59:49Z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d1718231-e157-4ccc-b6cf-0c2338374c07</vt:lpwstr>
  </property>
  <property fmtid="{D5CDD505-2E9C-101B-9397-08002B2CF9AE}" pid="3" name="ContentTypeId">
    <vt:lpwstr>0x01010045F23B6EBB641048A129840DA94BE7C6</vt:lpwstr>
  </property>
  <property fmtid="{D5CDD505-2E9C-101B-9397-08002B2CF9AE}" pid="4" name="MediaServiceImageTags">
    <vt:lpwstr/>
  </property>
</Properties>
</file>